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"/>
    </mc:Choice>
  </mc:AlternateContent>
  <xr:revisionPtr revIDLastSave="0" documentId="8_{8824C57D-296D-4674-B920-9B0D3570E878}" xr6:coauthVersionLast="47" xr6:coauthVersionMax="47" xr10:uidLastSave="{00000000-0000-0000-0000-000000000000}"/>
  <bookViews>
    <workbookView xWindow="50115" yWindow="1860" windowWidth="16200" windowHeight="9315" activeTab="1" xr2:uid="{C0563B67-6E75-4F88-A4BA-A68ADDA750B0}"/>
  </bookViews>
  <sheets>
    <sheet name="RTD.T4" sheetId="1" r:id="rId1"/>
    <sheet name="Functions" sheetId="4" r:id="rId2"/>
    <sheet name="Comment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4" l="1" a="1"/>
  <c r="I47" i="1" a="1"/>
  <c r="I15" i="1" a="1"/>
  <c r="L35" i="1" a="1"/>
  <c r="I18" i="1" a="1"/>
  <c r="L47" i="4" a="1"/>
  <c r="I21" i="1" a="1"/>
  <c r="C7" i="1" a="1"/>
  <c r="I32" i="1" a="1"/>
  <c r="C46" i="1" a="1"/>
  <c r="L12" i="1" a="1"/>
  <c r="D34" i="1" a="1"/>
  <c r="D30" i="1" a="1"/>
  <c r="E9" i="1" a="1"/>
  <c r="I50" i="4" a="1"/>
  <c r="L7" i="1" a="1"/>
  <c r="I31" i="4" a="1"/>
  <c r="I45" i="1" a="1"/>
  <c r="I42" i="4" a="1"/>
  <c r="I38" i="1" a="1"/>
  <c r="L27" i="4" a="1"/>
  <c r="D14" i="4" a="1"/>
  <c r="I38" i="4" a="1"/>
  <c r="I20" i="1" a="1"/>
  <c r="I19" i="1" a="1"/>
  <c r="C41" i="4" a="1"/>
  <c r="L32" i="4" a="1"/>
  <c r="I40" i="4" a="1"/>
  <c r="L45" i="1" a="1"/>
  <c r="I8" i="1" a="1"/>
  <c r="E24" i="4" a="1"/>
  <c r="D24" i="1" a="1"/>
  <c r="I46" i="4" a="1"/>
  <c r="C32" i="1" a="1"/>
  <c r="I30" i="4" a="1"/>
  <c r="C29" i="4" a="1"/>
  <c r="I16" i="4" a="1"/>
  <c r="I24" i="1" a="1"/>
  <c r="L13" i="1" a="1"/>
  <c r="I54" i="4" a="1"/>
  <c r="L43" i="1" a="1"/>
  <c r="I17" i="1" a="1"/>
  <c r="L6" i="1" a="1"/>
  <c r="D30" i="4" a="1"/>
  <c r="C7" i="4" a="1"/>
  <c r="E17" i="1" a="1"/>
  <c r="L21" i="4" a="1"/>
  <c r="I55" i="1" a="1"/>
  <c r="I57" i="4" a="1"/>
  <c r="L9" i="4" a="1"/>
  <c r="L23" i="1" a="1"/>
  <c r="L25" i="1" a="1"/>
  <c r="I10" i="4" a="1"/>
  <c r="I25" i="4" a="1"/>
  <c r="I23" i="4" a="1"/>
  <c r="L20" i="1" a="1"/>
  <c r="I22" i="1" a="1"/>
  <c r="E26" i="4" a="1"/>
  <c r="I39" i="1" a="1"/>
  <c r="I62" i="1" a="1"/>
  <c r="L8" i="1" a="1"/>
  <c r="L57" i="1" a="1"/>
  <c r="C9" i="4" a="1"/>
  <c r="D24" i="4" a="1"/>
  <c r="I41" i="1" a="1"/>
  <c r="I31" i="1" a="1"/>
  <c r="I28" i="1" a="1"/>
  <c r="L40" i="4" a="1"/>
  <c r="L39" i="1" a="1"/>
  <c r="D32" i="1" a="1"/>
  <c r="C30" i="1" a="1"/>
  <c r="I61" i="1" a="1"/>
  <c r="I57" i="1" a="1"/>
  <c r="L53" i="1" a="1"/>
  <c r="D26" i="4" a="1"/>
  <c r="D31" i="1" a="1"/>
  <c r="E23" i="1" a="1"/>
  <c r="I29" i="1" a="1"/>
  <c r="L15" i="4" a="1"/>
  <c r="I43" i="1" a="1"/>
  <c r="L51" i="1" a="1"/>
  <c r="N1" i="4" a="1"/>
  <c r="F24" i="1" a="1"/>
  <c r="D25" i="1" a="1"/>
  <c r="D22" i="4" a="1"/>
  <c r="I8" i="4" a="1"/>
  <c r="I11" i="4" a="1"/>
  <c r="I42" i="1" a="1"/>
  <c r="L12" i="4" a="1"/>
  <c r="L24" i="1" a="1"/>
  <c r="L44" i="1" a="1"/>
  <c r="I26" i="4" a="1"/>
  <c r="L8" i="4" a="1"/>
  <c r="L33" i="4" a="1"/>
  <c r="L54" i="1" a="1"/>
  <c r="F25" i="1" a="1"/>
  <c r="C43" i="4" a="1"/>
  <c r="D29" i="4" a="1"/>
  <c r="I47" i="4" a="1"/>
  <c r="L32" i="1" a="1"/>
  <c r="L45" i="4" a="1"/>
  <c r="E9" i="4" a="1"/>
  <c r="C12" i="1" a="1"/>
  <c r="I22" i="4" a="1"/>
  <c r="L36" i="1" a="1"/>
  <c r="I45" i="4" a="1"/>
  <c r="E14" i="1" a="1"/>
  <c r="C30" i="4" a="1"/>
  <c r="L46" i="4" a="1"/>
  <c r="F24" i="4" a="1"/>
  <c r="I24" i="4" a="1"/>
  <c r="I59" i="4" a="1"/>
  <c r="B29" i="1" a="1"/>
  <c r="I30" i="1" a="1"/>
  <c r="I14" i="4" a="1"/>
  <c r="I35" i="1" a="1"/>
  <c r="I53" i="1" a="1"/>
  <c r="C29" i="1" a="1"/>
  <c r="I12" i="4" a="1"/>
  <c r="I11" i="1" a="1"/>
  <c r="I60" i="4" a="1"/>
  <c r="L20" i="4" a="1"/>
  <c r="L51" i="4" a="1"/>
  <c r="C46" i="4" a="1"/>
  <c r="L14" i="1" a="1"/>
  <c r="E22" i="1" a="1"/>
  <c r="L11" i="4" a="1"/>
  <c r="D22" i="1" a="1"/>
  <c r="E24" i="1" a="1"/>
  <c r="I37" i="4" a="1"/>
  <c r="D32" i="4" a="1"/>
  <c r="L25" i="4" a="1"/>
  <c r="D27" i="1" a="1"/>
  <c r="L28" i="4" a="1"/>
  <c r="L52" i="4" a="1"/>
  <c r="I17" i="4" a="1"/>
  <c r="L10" i="1" a="1"/>
  <c r="L19" i="4" a="1"/>
  <c r="I23" i="1" a="1"/>
  <c r="I19" i="4" a="1"/>
  <c r="D23" i="1" a="1"/>
  <c r="I52" i="4" a="1"/>
  <c r="L56" i="1" a="1"/>
  <c r="L50" i="4" a="1"/>
  <c r="L37" i="4" a="1"/>
  <c r="L58" i="4" a="1"/>
  <c r="L38" i="1" a="1"/>
  <c r="L22" i="1" a="1"/>
  <c r="I44" i="1" a="1"/>
  <c r="L44" i="4" a="1"/>
  <c r="I6" i="1" a="1"/>
  <c r="L21" i="1" a="1"/>
  <c r="L29" i="4" a="1"/>
  <c r="I34" i="4" a="1"/>
  <c r="I51" i="1" a="1"/>
  <c r="L42" i="4" a="1"/>
  <c r="D27" i="4" a="1"/>
  <c r="L52" i="1" a="1"/>
  <c r="D12" i="4" a="1"/>
  <c r="L48" i="1" a="1"/>
  <c r="E22" i="4" a="1"/>
  <c r="E16" i="1" a="1"/>
  <c r="C14" i="1" a="1"/>
  <c r="B32" i="1" a="1"/>
  <c r="I37" i="1" a="1"/>
  <c r="I59" i="1" a="1"/>
  <c r="I60" i="1" a="1"/>
  <c r="I44" i="4" a="1"/>
  <c r="I7" i="4" a="1"/>
  <c r="I7" i="1" a="1"/>
  <c r="L16" i="1" a="1"/>
  <c r="B32" i="4" a="1"/>
  <c r="L50" i="1" a="1"/>
  <c r="B29" i="4" a="1"/>
  <c r="P1" i="4" a="1"/>
  <c r="F26" i="1" a="1"/>
  <c r="L13" i="4" a="1"/>
  <c r="L42" i="1" a="1"/>
  <c r="I50" i="1" a="1"/>
  <c r="C42" i="4" a="1"/>
  <c r="L28" i="1" a="1"/>
  <c r="C32" i="4" a="1"/>
  <c r="L43" i="4" a="1"/>
  <c r="D31" i="4" a="1"/>
  <c r="L58" i="1" a="1"/>
  <c r="I62" i="4" a="1"/>
  <c r="I48" i="1" a="1"/>
  <c r="I51" i="4" a="1"/>
  <c r="I58" i="1" a="1"/>
  <c r="I29" i="4" a="1"/>
  <c r="L7" i="4" a="1"/>
  <c r="L19" i="1" a="1"/>
  <c r="L57" i="4" a="1"/>
  <c r="L17" i="1" a="1"/>
  <c r="I27" i="4" a="1"/>
  <c r="I6" i="4" a="1"/>
  <c r="D12" i="1" a="1"/>
  <c r="D20" i="1" a="1"/>
  <c r="L11" i="1" a="1"/>
  <c r="F25" i="4" a="1"/>
  <c r="C14" i="4" a="1"/>
  <c r="L49" i="4" a="1"/>
  <c r="L36" i="4" a="1"/>
  <c r="B30" i="1" a="1"/>
  <c r="I49" i="4" a="1"/>
  <c r="I13" i="1" a="1"/>
  <c r="L30" i="1" a="1"/>
  <c r="E14" i="4" a="1"/>
  <c r="E25" i="4" a="1"/>
  <c r="B28" i="1" a="1"/>
  <c r="I48" i="4" a="1"/>
  <c r="L33" i="1" a="1"/>
  <c r="D23" i="4" a="1"/>
  <c r="C31" i="4" a="1"/>
  <c r="I55" i="4" a="1"/>
  <c r="I63" i="4" a="1"/>
  <c r="L55" i="1" a="1"/>
  <c r="I33" i="1" a="1"/>
  <c r="D29" i="1" a="1"/>
  <c r="F26" i="4" a="1"/>
  <c r="L26" i="4" a="1"/>
  <c r="C12" i="4" a="1"/>
  <c r="C28" i="1" a="1"/>
  <c r="I14" i="1" a="1"/>
  <c r="D28" i="1" a="1"/>
  <c r="L38" i="4" a="1"/>
  <c r="I13" i="4" a="1"/>
  <c r="L31" i="4" a="1"/>
  <c r="I56" i="4" a="1"/>
  <c r="I32" i="4" a="1"/>
  <c r="L56" i="4" a="1"/>
  <c r="I35" i="4" a="1"/>
  <c r="I52" i="1" a="1"/>
  <c r="D14" i="1" a="1"/>
  <c r="I61" i="4" a="1"/>
  <c r="I39" i="4" a="1"/>
  <c r="L23" i="4" a="1"/>
  <c r="D26" i="1" a="1"/>
  <c r="S1" i="4" a="1"/>
  <c r="B31" i="4" a="1"/>
  <c r="I63" i="1" a="1"/>
  <c r="C41" i="1" a="1"/>
  <c r="I12" i="1" a="1"/>
  <c r="L37" i="1" a="1"/>
  <c r="F23" i="4" a="1"/>
  <c r="L48" i="4" a="1"/>
  <c r="D25" i="4" a="1"/>
  <c r="L26" i="1" a="1"/>
  <c r="L29" i="1" a="1"/>
  <c r="B28" i="4" a="1"/>
  <c r="L54" i="4" a="1"/>
  <c r="L31" i="1" a="1"/>
  <c r="I10" i="1" a="1"/>
  <c r="E12" i="4" a="1"/>
  <c r="L9" i="1" a="1"/>
  <c r="L46" i="1" a="1"/>
  <c r="I58" i="4" a="1"/>
  <c r="I16" i="1" a="1"/>
  <c r="I9" i="1" a="1"/>
  <c r="L16" i="4" a="1"/>
  <c r="F23" i="1" a="1"/>
  <c r="I53" i="4" a="1"/>
  <c r="I21" i="4" a="1"/>
  <c r="L41" i="1" a="1"/>
  <c r="L15" i="1" a="1"/>
  <c r="E12" i="1" a="1"/>
  <c r="D34" i="4" a="1"/>
  <c r="L30" i="4" a="1"/>
  <c r="L59" i="4" a="1"/>
  <c r="E16" i="4" a="1"/>
  <c r="D28" i="4" a="1"/>
  <c r="I36" i="4" a="1"/>
  <c r="E25" i="1" a="1"/>
  <c r="I54" i="1" a="1"/>
  <c r="I18" i="4" a="1"/>
  <c r="I43" i="4" a="1"/>
  <c r="L49" i="1" a="1"/>
  <c r="L35" i="4" a="1"/>
  <c r="D20" i="4" a="1"/>
  <c r="F22" i="1" a="1"/>
  <c r="F22" i="4" a="1"/>
  <c r="L24" i="4" a="1"/>
  <c r="L14" i="4" a="1"/>
  <c r="B30" i="4" a="1"/>
  <c r="I25" i="1" a="1"/>
  <c r="L10" i="4" a="1"/>
  <c r="L22" i="4" a="1"/>
  <c r="I40" i="1" a="1"/>
  <c r="I34" i="1" a="1"/>
  <c r="L41" i="4" a="1"/>
  <c r="I49" i="1" a="1"/>
  <c r="L6" i="4" a="1"/>
  <c r="L18" i="4" a="1"/>
  <c r="E23" i="4" a="1"/>
  <c r="L39" i="4" a="1"/>
  <c r="C43" i="1" a="1"/>
  <c r="C28" i="4" a="1"/>
  <c r="L34" i="4" a="1"/>
  <c r="I41" i="4" a="1"/>
  <c r="E17" i="4" a="1"/>
  <c r="L53" i="4" a="1"/>
  <c r="L34" i="1" a="1"/>
  <c r="L47" i="1" a="1"/>
  <c r="C31" i="1" a="1"/>
  <c r="I56" i="1" a="1"/>
  <c r="L59" i="1" a="1"/>
  <c r="L18" i="1" a="1"/>
  <c r="I27" i="1" a="1"/>
  <c r="C9" i="1" a="1"/>
  <c r="L27" i="1" a="1"/>
  <c r="I15" i="4" a="1"/>
  <c r="E26" i="1" a="1"/>
  <c r="I20" i="4" a="1"/>
  <c r="I33" i="4" a="1"/>
  <c r="I36" i="1" a="1"/>
  <c r="L40" i="1" a="1"/>
  <c r="I26" i="1" a="1"/>
  <c r="B31" i="1" a="1"/>
  <c r="I28" i="4" a="1"/>
  <c r="C42" i="1" a="1"/>
  <c r="L17" i="4" a="1"/>
  <c r="I9" i="4" a="1"/>
  <c r="L55" i="4" a="1"/>
  <c r="I46" i="1" a="1"/>
  <c r="I46" i="1" l="1"/>
  <c r="L55" i="4"/>
  <c r="I9" i="4"/>
  <c r="L17" i="4"/>
  <c r="C42" i="1"/>
  <c r="I28" i="4"/>
  <c r="B31" i="1"/>
  <c r="I26" i="1"/>
  <c r="L40" i="1"/>
  <c r="I36" i="1"/>
  <c r="I33" i="4"/>
  <c r="I20" i="4"/>
  <c r="E26" i="1"/>
  <c r="I15" i="4"/>
  <c r="L27" i="1"/>
  <c r="C9" i="1"/>
  <c r="I27" i="1"/>
  <c r="L18" i="1"/>
  <c r="L59" i="1"/>
  <c r="I56" i="1"/>
  <c r="C31" i="1"/>
  <c r="L47" i="1"/>
  <c r="L34" i="1"/>
  <c r="L53" i="4"/>
  <c r="E17" i="4"/>
  <c r="I41" i="4"/>
  <c r="L34" i="4"/>
  <c r="C28" i="4"/>
  <c r="C43" i="1"/>
  <c r="L39" i="4"/>
  <c r="E23" i="4"/>
  <c r="L18" i="4"/>
  <c r="L6" i="4"/>
  <c r="I49" i="1"/>
  <c r="L41" i="4"/>
  <c r="I34" i="1"/>
  <c r="I40" i="1"/>
  <c r="L22" i="4"/>
  <c r="L10" i="4"/>
  <c r="I25" i="1"/>
  <c r="B30" i="4"/>
  <c r="L14" i="4"/>
  <c r="L24" i="4"/>
  <c r="F22" i="4"/>
  <c r="F22" i="1"/>
  <c r="D20" i="4"/>
  <c r="L35" i="4"/>
  <c r="L49" i="1"/>
  <c r="I43" i="4"/>
  <c r="I18" i="4"/>
  <c r="I54" i="1"/>
  <c r="E25" i="1"/>
  <c r="I36" i="4"/>
  <c r="D28" i="4"/>
  <c r="E16" i="4"/>
  <c r="L59" i="4"/>
  <c r="L30" i="4"/>
  <c r="D34" i="4"/>
  <c r="E12" i="1"/>
  <c r="L15" i="1"/>
  <c r="L41" i="1"/>
  <c r="I21" i="4"/>
  <c r="I53" i="4"/>
  <c r="F23" i="1"/>
  <c r="L16" i="4"/>
  <c r="I9" i="1"/>
  <c r="I16" i="1"/>
  <c r="I58" i="4"/>
  <c r="L46" i="1"/>
  <c r="L9" i="1"/>
  <c r="E12" i="4"/>
  <c r="I10" i="1"/>
  <c r="L31" i="1"/>
  <c r="L54" i="4"/>
  <c r="B28" i="4"/>
  <c r="L29" i="1"/>
  <c r="L26" i="1"/>
  <c r="D25" i="4"/>
  <c r="L48" i="4"/>
  <c r="F23" i="4"/>
  <c r="L37" i="1"/>
  <c r="I12" i="1"/>
  <c r="C41" i="1"/>
  <c r="I63" i="1"/>
  <c r="B31" i="4"/>
  <c r="S1" i="4"/>
  <c r="D26" i="1"/>
  <c r="L23" i="4"/>
  <c r="I39" i="4"/>
  <c r="I61" i="4"/>
  <c r="D14" i="1"/>
  <c r="I52" i="1"/>
  <c r="I35" i="4"/>
  <c r="L56" i="4"/>
  <c r="I32" i="4"/>
  <c r="I56" i="4"/>
  <c r="L31" i="4"/>
  <c r="I13" i="4"/>
  <c r="L38" i="4"/>
  <c r="D28" i="1"/>
  <c r="I14" i="1"/>
  <c r="C28" i="1"/>
  <c r="C12" i="4"/>
  <c r="L26" i="4"/>
  <c r="F26" i="4"/>
  <c r="D29" i="1"/>
  <c r="I33" i="1"/>
  <c r="L55" i="1"/>
  <c r="I63" i="4"/>
  <c r="I55" i="4"/>
  <c r="C31" i="4"/>
  <c r="D23" i="4"/>
  <c r="L33" i="1"/>
  <c r="I48" i="4"/>
  <c r="B28" i="1"/>
  <c r="E25" i="4"/>
  <c r="E14" i="4"/>
  <c r="L30" i="1"/>
  <c r="I13" i="1"/>
  <c r="I49" i="4"/>
  <c r="B30" i="1"/>
  <c r="L36" i="4"/>
  <c r="L49" i="4"/>
  <c r="C14" i="4"/>
  <c r="F25" i="4"/>
  <c r="L11" i="1"/>
  <c r="D20" i="1"/>
  <c r="D12" i="1"/>
  <c r="I6" i="4"/>
  <c r="I27" i="4"/>
  <c r="L17" i="1"/>
  <c r="L57" i="4"/>
  <c r="L19" i="1"/>
  <c r="L7" i="4"/>
  <c r="I29" i="4"/>
  <c r="I58" i="1"/>
  <c r="I51" i="4"/>
  <c r="I48" i="1"/>
  <c r="I62" i="4"/>
  <c r="L58" i="1"/>
  <c r="D31" i="4"/>
  <c r="L43" i="4"/>
  <c r="C32" i="4"/>
  <c r="L28" i="1"/>
  <c r="C42" i="4"/>
  <c r="I50" i="1"/>
  <c r="L42" i="1"/>
  <c r="L13" i="4"/>
  <c r="F26" i="1"/>
  <c r="P1" i="4"/>
  <c r="B29" i="4"/>
  <c r="L50" i="1"/>
  <c r="B32" i="4"/>
  <c r="L16" i="1"/>
  <c r="I7" i="1"/>
  <c r="I7" i="4"/>
  <c r="I44" i="4"/>
  <c r="I60" i="1"/>
  <c r="I59" i="1"/>
  <c r="I37" i="1"/>
  <c r="B32" i="1"/>
  <c r="C14" i="1"/>
  <c r="E16" i="1"/>
  <c r="E22" i="4"/>
  <c r="L48" i="1"/>
  <c r="D12" i="4"/>
  <c r="L52" i="1"/>
  <c r="D27" i="4"/>
  <c r="L42" i="4"/>
  <c r="I51" i="1"/>
  <c r="I34" i="4"/>
  <c r="L29" i="4"/>
  <c r="L21" i="1"/>
  <c r="I6" i="1"/>
  <c r="L44" i="4"/>
  <c r="I44" i="1"/>
  <c r="L22" i="1"/>
  <c r="L38" i="1"/>
  <c r="L58" i="4"/>
  <c r="L37" i="4"/>
  <c r="L50" i="4"/>
  <c r="L56" i="1"/>
  <c r="I52" i="4"/>
  <c r="D23" i="1"/>
  <c r="I19" i="4"/>
  <c r="I23" i="1"/>
  <c r="L19" i="4"/>
  <c r="L10" i="1"/>
  <c r="I17" i="4"/>
  <c r="L52" i="4"/>
  <c r="L28" i="4"/>
  <c r="D27" i="1"/>
  <c r="L25" i="4"/>
  <c r="D32" i="4"/>
  <c r="I37" i="4"/>
  <c r="E24" i="1"/>
  <c r="D22" i="1"/>
  <c r="L11" i="4"/>
  <c r="E22" i="1"/>
  <c r="L14" i="1"/>
  <c r="C46" i="4"/>
  <c r="L51" i="4"/>
  <c r="L20" i="4"/>
  <c r="I60" i="4"/>
  <c r="I11" i="1"/>
  <c r="I12" i="4"/>
  <c r="C29" i="1"/>
  <c r="I53" i="1"/>
  <c r="I35" i="1"/>
  <c r="I14" i="4"/>
  <c r="I30" i="1"/>
  <c r="B29" i="1"/>
  <c r="I59" i="4"/>
  <c r="I24" i="4"/>
  <c r="F24" i="4"/>
  <c r="L46" i="4"/>
  <c r="C30" i="4"/>
  <c r="E14" i="1"/>
  <c r="I45" i="4"/>
  <c r="L36" i="1"/>
  <c r="I22" i="4"/>
  <c r="C12" i="1"/>
  <c r="E9" i="4"/>
  <c r="L45" i="4"/>
  <c r="L32" i="1"/>
  <c r="I47" i="4"/>
  <c r="D29" i="4"/>
  <c r="C43" i="4"/>
  <c r="F25" i="1"/>
  <c r="L54" i="1"/>
  <c r="L33" i="4"/>
  <c r="L8" i="4"/>
  <c r="I26" i="4"/>
  <c r="L44" i="1"/>
  <c r="L24" i="1"/>
  <c r="L12" i="4"/>
  <c r="I42" i="1"/>
  <c r="I11" i="4"/>
  <c r="I8" i="4"/>
  <c r="D22" i="4"/>
  <c r="D25" i="1"/>
  <c r="F24" i="1"/>
  <c r="N1" i="4"/>
  <c r="L51" i="1"/>
  <c r="I43" i="1"/>
  <c r="L15" i="4"/>
  <c r="I29" i="1"/>
  <c r="E23" i="1"/>
  <c r="D31" i="1"/>
  <c r="D26" i="4"/>
  <c r="L53" i="1"/>
  <c r="I57" i="1"/>
  <c r="I61" i="1"/>
  <c r="C30" i="1"/>
  <c r="D32" i="1"/>
  <c r="L39" i="1"/>
  <c r="L40" i="4"/>
  <c r="I28" i="1"/>
  <c r="I31" i="1"/>
  <c r="I41" i="1"/>
  <c r="D24" i="4"/>
  <c r="C9" i="4"/>
  <c r="L57" i="1"/>
  <c r="L8" i="1"/>
  <c r="I62" i="1"/>
  <c r="I39" i="1"/>
  <c r="E26" i="4"/>
  <c r="I22" i="1"/>
  <c r="L20" i="1"/>
  <c r="I23" i="4"/>
  <c r="I25" i="4"/>
  <c r="I10" i="4"/>
  <c r="L25" i="1"/>
  <c r="L23" i="1"/>
  <c r="L9" i="4"/>
  <c r="I57" i="4"/>
  <c r="I55" i="1"/>
  <c r="L21" i="4"/>
  <c r="E17" i="1"/>
  <c r="C7" i="4"/>
  <c r="D30" i="4"/>
  <c r="L6" i="1"/>
  <c r="I17" i="1"/>
  <c r="L43" i="1"/>
  <c r="I54" i="4"/>
  <c r="L13" i="1"/>
  <c r="I24" i="1"/>
  <c r="I16" i="4"/>
  <c r="C29" i="4"/>
  <c r="I30" i="4"/>
  <c r="C32" i="1"/>
  <c r="I46" i="4"/>
  <c r="D24" i="1"/>
  <c r="E24" i="4"/>
  <c r="I8" i="1"/>
  <c r="L45" i="1"/>
  <c r="I40" i="4"/>
  <c r="L32" i="4"/>
  <c r="C41" i="4"/>
  <c r="I19" i="1"/>
  <c r="I20" i="1"/>
  <c r="I38" i="4"/>
  <c r="D14" i="4"/>
  <c r="L27" i="4"/>
  <c r="I38" i="1"/>
  <c r="I42" i="4"/>
  <c r="I45" i="1"/>
  <c r="I31" i="4"/>
  <c r="L7" i="1"/>
  <c r="I50" i="4"/>
  <c r="E9" i="1"/>
  <c r="D30" i="1"/>
  <c r="D34" i="1"/>
  <c r="L12" i="1"/>
  <c r="C46" i="1"/>
  <c r="I32" i="1"/>
  <c r="C7" i="1"/>
  <c r="I21" i="1"/>
  <c r="L47" i="4"/>
  <c r="I18" i="1"/>
  <c r="L35" i="1"/>
  <c r="I15" i="1"/>
  <c r="I47" i="1"/>
  <c r="C44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<sst xmlns="http://schemas.openxmlformats.org/spreadsheetml/2006/main" count="293" uniqueCount="158">
  <si>
    <t>System Notification</t>
  </si>
  <si>
    <t>Connectivity &amp; Notifications</t>
  </si>
  <si>
    <t>Market Data</t>
  </si>
  <si>
    <t>ExchangeID</t>
  </si>
  <si>
    <t>ContractID</t>
  </si>
  <si>
    <t>MarketID</t>
  </si>
  <si>
    <t>CME_Eq</t>
  </si>
  <si>
    <t>ES</t>
  </si>
  <si>
    <t>Connection</t>
  </si>
  <si>
    <t>ConnectionLogs</t>
  </si>
  <si>
    <t>TraceLogs</t>
  </si>
  <si>
    <t>Market</t>
  </si>
  <si>
    <t>Expiry</t>
  </si>
  <si>
    <t>TTV</t>
  </si>
  <si>
    <t>Best Bid</t>
  </si>
  <si>
    <t>Best Bid Display</t>
  </si>
  <si>
    <t>Best Offer</t>
  </si>
  <si>
    <t>Settlement</t>
  </si>
  <si>
    <t>Settlement Held</t>
  </si>
  <si>
    <t>High</t>
  </si>
  <si>
    <t>Bid Display</t>
  </si>
  <si>
    <t>Bid</t>
  </si>
  <si>
    <t>Price</t>
  </si>
  <si>
    <t>Offer</t>
  </si>
  <si>
    <t>Offer Display</t>
  </si>
  <si>
    <t>Low</t>
  </si>
  <si>
    <t>Account</t>
  </si>
  <si>
    <t>Account Number</t>
  </si>
  <si>
    <t>NOstryeCTS</t>
  </si>
  <si>
    <t>Position</t>
  </si>
  <si>
    <t>AccountID</t>
  </si>
  <si>
    <t>Name</t>
  </si>
  <si>
    <t>Number</t>
  </si>
  <si>
    <t>Firm</t>
  </si>
  <si>
    <t>Balance</t>
  </si>
  <si>
    <t>Margin</t>
  </si>
  <si>
    <t>PL</t>
  </si>
  <si>
    <t>RPL</t>
  </si>
  <si>
    <t>UPL</t>
  </si>
  <si>
    <t>Status</t>
  </si>
  <si>
    <t>Cash</t>
  </si>
  <si>
    <t>Mode</t>
  </si>
  <si>
    <t>Premium</t>
  </si>
  <si>
    <t>NetLiq</t>
  </si>
  <si>
    <t>Notifications</t>
  </si>
  <si>
    <t>Turn off Windows Animations</t>
  </si>
  <si>
    <t>1)</t>
  </si>
  <si>
    <t>2)</t>
  </si>
  <si>
    <t>To Quicken Updates Modify VBA:
Private Sub Workbook_Open()
    Application.RTD.ThrottleInterval = 100
End Sub</t>
  </si>
  <si>
    <t>Buys</t>
  </si>
  <si>
    <t>Sells</t>
  </si>
  <si>
    <t>MP</t>
  </si>
  <si>
    <t>Net</t>
  </si>
  <si>
    <t>Worst</t>
  </si>
  <si>
    <t>XCME_Eq ES (Z24)</t>
  </si>
  <si>
    <t>Trace Logs</t>
  </si>
  <si>
    <t>Connection Logs</t>
  </si>
  <si>
    <t>Price Format</t>
  </si>
  <si>
    <t>Fees And Commissions</t>
  </si>
  <si>
    <t>Net Equity Theo</t>
  </si>
  <si>
    <t>Net Equity Mid Point</t>
  </si>
  <si>
    <t>Net Equity Settle</t>
  </si>
  <si>
    <t>Net Equity</t>
  </si>
  <si>
    <t>Working Orders</t>
  </si>
  <si>
    <t>Working Quantity</t>
  </si>
  <si>
    <t>Day Sells</t>
  </si>
  <si>
    <t>Day Buys</t>
  </si>
  <si>
    <t>Warning Threshold Margin</t>
  </si>
  <si>
    <t>Warning Threshold PL</t>
  </si>
  <si>
    <t>Warning Threshold LL</t>
  </si>
  <si>
    <t>Warning Threshold Worst</t>
  </si>
  <si>
    <t>Working Delta</t>
  </si>
  <si>
    <t>Warning Worst</t>
  </si>
  <si>
    <t>Warning LL</t>
  </si>
  <si>
    <t>Warning PL</t>
  </si>
  <si>
    <t>Warning Margin</t>
  </si>
  <si>
    <t>Min Balance</t>
  </si>
  <si>
    <t>Filled Delta</t>
  </si>
  <si>
    <t>Loss Limit Percent</t>
  </si>
  <si>
    <t>Loss Limit</t>
  </si>
  <si>
    <t>Max Position</t>
  </si>
  <si>
    <t>UPL Overnight</t>
  </si>
  <si>
    <t>NetLiq Prev Imported Date</t>
  </si>
  <si>
    <t xml:space="preserve">NetLiq Prev Imported </t>
  </si>
  <si>
    <t>NetLiq Imported Date</t>
  </si>
  <si>
    <t xml:space="preserve">NetLiq Imported </t>
  </si>
  <si>
    <t>Overnight Position</t>
  </si>
  <si>
    <t>Margin Prev</t>
  </si>
  <si>
    <t>Net Prev</t>
  </si>
  <si>
    <t>Net Day</t>
  </si>
  <si>
    <t>PL Trade</t>
  </si>
  <si>
    <t>PL Day</t>
  </si>
  <si>
    <t>PL Trade Day</t>
  </si>
  <si>
    <t>UPL USD</t>
  </si>
  <si>
    <t>UPLT USD</t>
  </si>
  <si>
    <t xml:space="preserve">UPL Day </t>
  </si>
  <si>
    <t xml:space="preserve">RPL Day </t>
  </si>
  <si>
    <t xml:space="preserve">UPL USD Day </t>
  </si>
  <si>
    <t xml:space="preserve">UPL Trade Day </t>
  </si>
  <si>
    <t>UPLT USD Day</t>
  </si>
  <si>
    <t>Trade Date</t>
  </si>
  <si>
    <t>PL Settlement</t>
  </si>
  <si>
    <t>PL Net Settlement</t>
  </si>
  <si>
    <t>PL Net</t>
  </si>
  <si>
    <t>PL Percent</t>
  </si>
  <si>
    <t>UPL Settle</t>
  </si>
  <si>
    <t>UPL Theo</t>
  </si>
  <si>
    <t>UPL Held Settle Prev Day</t>
  </si>
  <si>
    <t>Warning Summary</t>
  </si>
  <si>
    <t>Open Volume</t>
  </si>
  <si>
    <t>UPL Trade</t>
  </si>
  <si>
    <t>Buys Working</t>
  </si>
  <si>
    <t>Sells Working</t>
  </si>
  <si>
    <t xml:space="preserve">Buys Day </t>
  </si>
  <si>
    <t xml:space="preserve">Sells Day </t>
  </si>
  <si>
    <t xml:space="preserve">UPL Theo Cur Day </t>
  </si>
  <si>
    <t xml:space="preserve">UPL Theo Prev Day </t>
  </si>
  <si>
    <t xml:space="preserve">RPL USD Day </t>
  </si>
  <si>
    <t>Buys Day</t>
  </si>
  <si>
    <t xml:space="preserve">Net Day </t>
  </si>
  <si>
    <t>RPL Day</t>
  </si>
  <si>
    <t>RPL USD Day</t>
  </si>
  <si>
    <t>Sells Day</t>
  </si>
  <si>
    <t>UPL Day</t>
  </si>
  <si>
    <t>UPL Trade Day</t>
  </si>
  <si>
    <t>UPL USD Day</t>
  </si>
  <si>
    <t xml:space="preserve">UPL Overnight </t>
  </si>
  <si>
    <t xml:space="preserve">UPL Held Settle Cur Day </t>
  </si>
  <si>
    <t>UPL Theo Cur Day</t>
  </si>
  <si>
    <t>UPL Mid Price Prev Day</t>
  </si>
  <si>
    <t>Buy Fill Price Total</t>
  </si>
  <si>
    <t xml:space="preserve">Open Price Total </t>
  </si>
  <si>
    <t xml:space="preserve">Overnight Price Total </t>
  </si>
  <si>
    <t xml:space="preserve">Sell Fill Price Total </t>
  </si>
  <si>
    <t xml:space="preserve">Long Price Average </t>
  </si>
  <si>
    <t>Short Price Average</t>
  </si>
  <si>
    <t>Short Price Average Day</t>
  </si>
  <si>
    <t>Long Price Average Day</t>
  </si>
  <si>
    <t xml:space="preserve">Open Price Average </t>
  </si>
  <si>
    <t xml:space="preserve">Short Price Average </t>
  </si>
  <si>
    <t xml:space="preserve">Long Price Average Day </t>
  </si>
  <si>
    <t xml:space="preserve">Short Price Average Day </t>
  </si>
  <si>
    <t>Open Price Total</t>
  </si>
  <si>
    <t xml:space="preserve">Buys Working </t>
  </si>
  <si>
    <t xml:space="preserve">Sells Working </t>
  </si>
  <si>
    <t xml:space="preserve">Buy Fill Price Total Day </t>
  </si>
  <si>
    <t xml:space="preserve">Sell Fill Price Total Day </t>
  </si>
  <si>
    <t xml:space="preserve">Sell Fill Price Total Day  </t>
  </si>
  <si>
    <t>Sell Fill Price Total</t>
  </si>
  <si>
    <t xml:space="preserve">Margin Prev </t>
  </si>
  <si>
    <t>Overnight Price Total</t>
  </si>
  <si>
    <t>UPL Mid Price</t>
  </si>
  <si>
    <t xml:space="preserve">UPL Held Settle Prev Day </t>
  </si>
  <si>
    <t xml:space="preserve">UPL Mid Price Prev Day </t>
  </si>
  <si>
    <t>UPL Mid Price Cur Day</t>
  </si>
  <si>
    <t>UPL Theo Prev Day</t>
  </si>
  <si>
    <t xml:space="preserve">UPL Mid Price Cur Day </t>
  </si>
  <si>
    <t>UPL Settle To Held Settle Prev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</si>
</sst>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E5E6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1" fillId="0" borderId="6" xfId="0" applyFont="1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1" fillId="0" borderId="11" xfId="0" applyFont="1" applyBorder="1"/>
    <xf numFmtId="0" fontId="0" fillId="0" borderId="13" xfId="0" applyBorder="1"/>
    <xf numFmtId="2" fontId="0" fillId="0" borderId="8" xfId="0" applyNumberFormat="1" applyBorder="1"/>
    <xf numFmtId="2" fontId="0" fillId="0" borderId="0" xfId="0" applyNumberFormat="1"/>
    <xf numFmtId="0" fontId="1" fillId="6" borderId="11" xfId="0" applyFont="1" applyFill="1" applyBorder="1"/>
    <xf numFmtId="0" fontId="2" fillId="6" borderId="13" xfId="0" applyFont="1" applyFill="1" applyBorder="1"/>
    <xf numFmtId="0" fontId="1" fillId="6" borderId="9" xfId="0" applyFont="1" applyFill="1" applyBorder="1"/>
    <xf numFmtId="0" fontId="0" fillId="6" borderId="10" xfId="0" applyFill="1" applyBorder="1"/>
    <xf numFmtId="0" fontId="0" fillId="6" borderId="13" xfId="0" applyFill="1" applyBorder="1"/>
    <xf numFmtId="0" fontId="0" fillId="6" borderId="9" xfId="0" applyFill="1" applyBorder="1"/>
    <xf numFmtId="0" fontId="0" fillId="6" borderId="11" xfId="0" applyFill="1" applyBorder="1"/>
    <xf numFmtId="0" fontId="2" fillId="6" borderId="10" xfId="0" applyFont="1" applyFill="1" applyBorder="1"/>
    <xf numFmtId="0" fontId="0" fillId="3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1" fillId="0" borderId="1" xfId="0" applyFont="1" applyBorder="1"/>
    <xf numFmtId="0" fontId="1" fillId="5" borderId="0" xfId="0" applyFont="1" applyFill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2" fillId="6" borderId="0" xfId="0" applyFont="1" applyFill="1" applyAlignment="1">
      <alignment horizontal="center"/>
    </xf>
    <xf numFmtId="0" fontId="1" fillId="6" borderId="10" xfId="0" applyFont="1" applyFill="1" applyBorder="1"/>
    <xf numFmtId="0" fontId="2" fillId="6" borderId="12" xfId="0" applyFont="1" applyFill="1" applyBorder="1" applyAlignment="1">
      <alignment horizontal="center"/>
    </xf>
    <xf numFmtId="0" fontId="1" fillId="6" borderId="13" xfId="0" applyFont="1" applyFill="1" applyBorder="1"/>
    <xf numFmtId="0" fontId="1" fillId="8" borderId="0" xfId="0" applyFont="1" applyFill="1" applyAlignment="1">
      <alignment horizontal="center"/>
    </xf>
    <xf numFmtId="0" fontId="0" fillId="8" borderId="0" xfId="0" applyFill="1"/>
    <xf numFmtId="0" fontId="2" fillId="6" borderId="0" xfId="0" applyFont="1" applyFill="1"/>
    <xf numFmtId="0" fontId="2" fillId="6" borderId="0" xfId="0" applyFont="1" applyFill="1" applyAlignment="1">
      <alignment horizontal="left"/>
    </xf>
    <xf numFmtId="0" fontId="2" fillId="6" borderId="12" xfId="0" applyFont="1" applyFill="1" applyBorder="1" applyAlignment="1">
      <alignment horizontal="left"/>
    </xf>
    <xf numFmtId="0" fontId="0" fillId="0" borderId="9" xfId="0" applyBorder="1"/>
    <xf numFmtId="0" fontId="1" fillId="0" borderId="7" xfId="0" applyFont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0" borderId="10" xfId="0" applyNumberFormat="1" applyBorder="1"/>
    <xf numFmtId="2" fontId="0" fillId="0" borderId="13" xfId="0" applyNumberFormat="1" applyBorder="1"/>
    <xf numFmtId="0" fontId="1" fillId="6" borderId="1" xfId="0" applyFont="1" applyFill="1" applyBorder="1"/>
    <xf numFmtId="0" fontId="0" fillId="6" borderId="1" xfId="0" applyFill="1" applyBorder="1"/>
    <xf numFmtId="2" fontId="0" fillId="0" borderId="10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1" fillId="6" borderId="15" xfId="0" applyFont="1" applyFill="1" applyBorder="1"/>
    <xf numFmtId="14" fontId="0" fillId="0" borderId="10" xfId="0" applyNumberFormat="1" applyBorder="1" applyAlignment="1">
      <alignment horizontal="right"/>
    </xf>
    <xf numFmtId="14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1" fillId="6" borderId="6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E5E6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C182-3178-4450-A73F-251515BAF868}">
  <sheetPr codeName="Sheet1"/>
  <dimension ref="A1:P63"/>
  <sheetViews>
    <sheetView workbookViewId="0">
      <selection activeCell="R11" sqref="R10:R11"/>
    </sheetView>
  </sheetViews>
  <sheetFormatPr defaultRowHeight="14.25" x14ac:dyDescent="0.45"/>
  <cols>
    <col min="1" max="1" width="5.73046875" customWidth="1"/>
    <col min="2" max="3" width="12.73046875" customWidth="1"/>
    <col min="4" max="4" width="21.73046875" customWidth="1"/>
    <col min="5" max="6" width="12.73046875" customWidth="1"/>
    <col min="7" max="7" width="5.73046875" customWidth="1"/>
    <col min="8" max="8" width="30.73046875" customWidth="1"/>
    <col min="9" max="9" width="20.73046875" customWidth="1"/>
    <col min="10" max="10" width="5.73046875" customWidth="1"/>
    <col min="11" max="11" width="30.73046875" customWidth="1"/>
    <col min="12" max="12" width="20.73046875" customWidth="1"/>
    <col min="15" max="15" width="23.59765625" customWidth="1"/>
  </cols>
  <sheetData>
    <row r="1" spans="1:16" x14ac:dyDescent="0.45">
      <c r="A1" s="49"/>
      <c r="B1" s="72" t="s">
        <v>2</v>
      </c>
      <c r="C1" s="77"/>
      <c r="D1" s="77"/>
      <c r="E1" s="77"/>
      <c r="F1" s="73"/>
      <c r="H1" s="72" t="s">
        <v>26</v>
      </c>
      <c r="I1" s="73"/>
      <c r="K1" s="72" t="s">
        <v>29</v>
      </c>
      <c r="L1" s="73"/>
    </row>
    <row r="2" spans="1:16" x14ac:dyDescent="0.45">
      <c r="A2" s="50"/>
      <c r="B2" s="15" t="s">
        <v>3</v>
      </c>
      <c r="C2" s="52" t="s">
        <v>6</v>
      </c>
      <c r="D2" s="51"/>
      <c r="E2" s="51"/>
      <c r="F2" s="20"/>
      <c r="H2" s="15" t="s">
        <v>27</v>
      </c>
      <c r="I2" s="20" t="s">
        <v>28</v>
      </c>
      <c r="K2" s="18"/>
      <c r="L2" s="16"/>
    </row>
    <row r="3" spans="1:16" x14ac:dyDescent="0.45">
      <c r="A3" s="50"/>
      <c r="B3" s="15" t="s">
        <v>4</v>
      </c>
      <c r="C3" s="52" t="s">
        <v>7</v>
      </c>
      <c r="D3" s="45"/>
      <c r="E3" s="45"/>
      <c r="F3" s="46"/>
      <c r="H3" s="15"/>
      <c r="I3" s="20"/>
      <c r="K3" s="18"/>
      <c r="L3" s="16"/>
    </row>
    <row r="4" spans="1:16" x14ac:dyDescent="0.45">
      <c r="A4" s="50"/>
      <c r="B4" s="13" t="s">
        <v>5</v>
      </c>
      <c r="C4" s="53" t="s">
        <v>54</v>
      </c>
      <c r="D4" s="47"/>
      <c r="E4" s="47"/>
      <c r="F4" s="48"/>
      <c r="H4" s="13"/>
      <c r="I4" s="14"/>
      <c r="K4" s="19"/>
      <c r="L4" s="17"/>
      <c r="M4" s="12"/>
    </row>
    <row r="5" spans="1:16" x14ac:dyDescent="0.45">
      <c r="M5" s="12"/>
    </row>
    <row r="6" spans="1:16" x14ac:dyDescent="0.45">
      <c r="C6" s="81" t="s">
        <v>11</v>
      </c>
      <c r="D6" s="82"/>
      <c r="E6" s="82"/>
      <c r="F6" s="34"/>
      <c r="H6" s="5" t="s">
        <v>30</v>
      </c>
      <c r="I6" s="6" t="e" cm="1">
        <f t="array" aca="1" ref="I6" ca="1">_xll.RTD.T4("t4", , "Account",$I$2,"AccountID")</f>
        <v>#NAME?</v>
      </c>
      <c r="K6" s="5" t="s">
        <v>130</v>
      </c>
      <c r="L6" s="64" t="e" cm="1">
        <f t="array" aca="1" ref="L6" ca="1">_xll.RTD.T4("t4", , "Position",$I$2,$C$2,$C$3,$C$4,"TotalBuyFillPrice","Decimal")</f>
        <v>#NAME?</v>
      </c>
      <c r="M6" s="12"/>
      <c r="N6" s="1"/>
      <c r="O6" s="70"/>
    </row>
    <row r="7" spans="1:16" x14ac:dyDescent="0.45">
      <c r="C7" s="83" t="e" cm="1">
        <f t="array" aca="1" ref="C7" ca="1">_xll.RTD.T4("t4", , "Market",$C$2,$C$3,$C$4,"Description")</f>
        <v>#NAME?</v>
      </c>
      <c r="D7" s="84"/>
      <c r="E7" s="84"/>
      <c r="F7" s="35"/>
      <c r="H7" s="7" t="s">
        <v>34</v>
      </c>
      <c r="I7" s="8" t="e" cm="1">
        <f t="array" aca="1" ref="I7" ca="1">_xll.RTD.T4("t4", , "Account",$I$2,"Balance")</f>
        <v>#NAME?</v>
      </c>
      <c r="K7" s="7" t="s">
        <v>145</v>
      </c>
      <c r="L7" s="62" t="e" cm="1">
        <f t="array" aca="1" ref="L7" ca="1">_xll.RTD.T4("t4", , "Position",$I$2,$C$2,$C$3,$C$4,"DayTotalBuyFillPrice","Decimal")</f>
        <v>#NAME?</v>
      </c>
      <c r="M7" s="12"/>
      <c r="N7" s="1"/>
      <c r="O7" s="70"/>
    </row>
    <row r="8" spans="1:16" x14ac:dyDescent="0.45">
      <c r="C8" s="79" t="s">
        <v>12</v>
      </c>
      <c r="D8" s="80"/>
      <c r="E8" s="33" t="s">
        <v>13</v>
      </c>
      <c r="F8" s="26"/>
      <c r="H8" s="7" t="s">
        <v>40</v>
      </c>
      <c r="I8" s="30" t="e" cm="1">
        <f t="array" aca="1" ref="I8" ca="1">_xll.RTD.T4("t4", , "Account",$I$2,"Cash")</f>
        <v>#NAME?</v>
      </c>
      <c r="K8" s="7" t="s">
        <v>49</v>
      </c>
      <c r="L8" s="62" t="e" cm="1">
        <f t="array" aca="1" ref="L8" ca="1">_xll.RTD.T4("t4", , "Position",$I$2,$C$2,$C$3,$C$4,"Buys")</f>
        <v>#NAME?</v>
      </c>
      <c r="M8" s="12"/>
      <c r="N8" s="1"/>
      <c r="O8" s="70"/>
    </row>
    <row r="9" spans="1:16" x14ac:dyDescent="0.45">
      <c r="C9" s="85" t="e" cm="1">
        <f t="array" aca="1" ref="C9" ca="1">_xll.RTD.T4("t4", , "Market",$C$2,$C$3,$C$4,"ExpiryMonth") &amp; " / " &amp; _xll.RTD.T4("t4", , "Market",$C$2,$C$3,$C$4,"ExpiryYear")</f>
        <v>#NAME?</v>
      </c>
      <c r="D9" s="86"/>
      <c r="E9" s="36" t="e" cm="1">
        <f t="array" aca="1" ref="E9" ca="1">_xll.RTD.T4("t4", , "Market",$C$2,$C$3,$C$4,"TTV")</f>
        <v>#NAME?</v>
      </c>
      <c r="F9" s="27"/>
      <c r="H9" s="7" t="s">
        <v>66</v>
      </c>
      <c r="I9" s="30" t="e" cm="1">
        <f t="array" aca="1" ref="I9" ca="1">_xll.RTD.T4("t4", , "Account",$I$2,"TotalDayBuys")</f>
        <v>#NAME?</v>
      </c>
      <c r="K9" s="7" t="s">
        <v>113</v>
      </c>
      <c r="L9" s="62" t="e" cm="1">
        <f t="array" aca="1" ref="L9" ca="1">_xll.RTD.T4("t4", , "Position",$I$2,$C$2,$C$3,$C$4,"DayBuys")</f>
        <v>#NAME?</v>
      </c>
      <c r="M9" s="12"/>
      <c r="N9" s="1"/>
      <c r="O9" s="70"/>
      <c r="P9" s="69"/>
    </row>
    <row r="10" spans="1:16" x14ac:dyDescent="0.45">
      <c r="H10" s="7" t="s">
        <v>65</v>
      </c>
      <c r="I10" s="30" t="e" cm="1">
        <f t="array" aca="1" ref="I10" ca="1">_xll.RTD.T4("t4", , "Account",$I$2,"TotalDaySells")</f>
        <v>#NAME?</v>
      </c>
      <c r="K10" s="7" t="s">
        <v>111</v>
      </c>
      <c r="L10" s="62" t="e" cm="1">
        <f t="array" aca="1" ref="L10" ca="1">_xll.RTD.T4("t4", , "Position",$I$2,$C$2,$C$3,$C$4,"WorkingBuys")</f>
        <v>#NAME?</v>
      </c>
      <c r="M10" s="12"/>
      <c r="N10" s="1"/>
      <c r="O10" s="70"/>
      <c r="P10" s="69"/>
    </row>
    <row r="11" spans="1:16" x14ac:dyDescent="0.45">
      <c r="C11" s="74" t="s">
        <v>14</v>
      </c>
      <c r="D11" s="75"/>
      <c r="E11" s="74" t="s">
        <v>15</v>
      </c>
      <c r="F11" s="74"/>
      <c r="H11" s="7" t="s">
        <v>58</v>
      </c>
      <c r="I11" s="30" t="e" cm="1">
        <f t="array" aca="1" ref="I11" ca="1">_xll.RTD.T4("t4", , "Account",$I$2,"FeesAndCommissions")</f>
        <v>#NAME?</v>
      </c>
      <c r="K11" s="7" t="s">
        <v>58</v>
      </c>
      <c r="L11" s="62" t="e" cm="1">
        <f t="array" aca="1" ref="L11" ca="1">_xll.RTD.T4("t4", , "Position",$I$2,$C$2,$C$3,$C$4,"FeesAndCommissions")</f>
        <v>#NAME?</v>
      </c>
      <c r="M11" s="12"/>
      <c r="N11" s="1"/>
      <c r="O11" s="70"/>
      <c r="P11" s="69"/>
    </row>
    <row r="12" spans="1:16" x14ac:dyDescent="0.45">
      <c r="C12" s="25" t="e" cm="1">
        <f t="array" aca="1" ref="C12" ca="1">_xll.RTD.T4("t4", , "Market",$C$2,$C$3,$C$4,"BestBid","Decimal")</f>
        <v>#NAME?</v>
      </c>
      <c r="D12" s="37" t="e" cm="1">
        <f t="array" aca="1" ref="D12" ca="1">_xll.RTD.T4("t4", , "Market",$C$2,$C$3,$C$4,"BestBid","Volume")</f>
        <v>#NAME?</v>
      </c>
      <c r="E12" s="76" t="e" cm="1">
        <f t="array" aca="1" ref="E12" ca="1">_xll.RTD.T4("t4", , "Market",$C$2,$C$3,$C$4,"BestBidDisplay","Volume")</f>
        <v>#NAME?</v>
      </c>
      <c r="F12" s="76"/>
      <c r="H12" s="7" t="s">
        <v>77</v>
      </c>
      <c r="I12" s="8" t="e" cm="1">
        <f t="array" aca="1" ref="I12" ca="1">_xll.RTD.T4("t4", , "Account",$I$2,"FilledDelta")</f>
        <v>#NAME?</v>
      </c>
      <c r="K12" s="7" t="s">
        <v>134</v>
      </c>
      <c r="L12" s="62" t="e" cm="1">
        <f t="array" aca="1" ref="L12" ca="1">_xll.RTD.T4("t4", , "Position",$I$2,$C$2,$C$3,$C$4,"AverageLongPrice","Decimal")</f>
        <v>#NAME?</v>
      </c>
      <c r="M12" s="12"/>
      <c r="N12" s="1"/>
      <c r="O12" s="70"/>
    </row>
    <row r="13" spans="1:16" x14ac:dyDescent="0.45">
      <c r="C13" s="74" t="s">
        <v>16</v>
      </c>
      <c r="D13" s="75"/>
      <c r="E13" s="74" t="s">
        <v>16</v>
      </c>
      <c r="F13" s="74"/>
      <c r="H13" s="7" t="s">
        <v>33</v>
      </c>
      <c r="I13" s="8" t="e" cm="1">
        <f t="array" aca="1" ref="I13" ca="1">_xll.RTD.T4("t4", , "Account",$I$2,"Firm")</f>
        <v>#NAME?</v>
      </c>
      <c r="K13" s="7" t="s">
        <v>140</v>
      </c>
      <c r="L13" s="62" t="e" cm="1">
        <f t="array" aca="1" ref="L13" ca="1">_xll.RTD.T4("t4", , "Position",$I$2,$C$2,$C$3,$C$4,"DayAverageLongPrice","Decimal")</f>
        <v>#NAME?</v>
      </c>
      <c r="M13" s="12"/>
      <c r="N13" s="1"/>
      <c r="O13" s="70"/>
      <c r="P13" s="69"/>
    </row>
    <row r="14" spans="1:16" x14ac:dyDescent="0.45">
      <c r="C14" s="39" t="e" cm="1">
        <f t="array" aca="1" ref="C14" ca="1">_xll.RTD.T4("t4", , "Market",$C$2,$C$3,$C$4,"BestOffer","Decimal")</f>
        <v>#NAME?</v>
      </c>
      <c r="D14" s="38" t="e" cm="1">
        <f t="array" aca="1" ref="D14" ca="1">_xll.RTD.T4("t4", , "Market",$C$2,$C$3,$C$4,"BestOffer","Volume")</f>
        <v>#NAME?</v>
      </c>
      <c r="E14" s="87" t="e" cm="1">
        <f t="array" aca="1" ref="E14" ca="1">_xll.RTD.T4("t4", , "Market",$C$2,$C$3,$C$4,"BestOfferDisplay","Volume")</f>
        <v>#NAME?</v>
      </c>
      <c r="F14" s="87"/>
      <c r="H14" s="7" t="s">
        <v>79</v>
      </c>
      <c r="I14" s="30" t="e" cm="1">
        <f t="array" aca="1" ref="I14" ca="1">_xll.RTD.T4("t4", , "Account",$I$2,"LossLimit")</f>
        <v>#NAME?</v>
      </c>
      <c r="K14" s="7" t="s">
        <v>35</v>
      </c>
      <c r="L14" s="62" t="e" cm="1">
        <f t="array" aca="1" ref="L14" ca="1">_xll.RTD.T4("t4", , "Position",$I$2,$C$2,$C$3,$C$4,"Margin")</f>
        <v>#NAME?</v>
      </c>
      <c r="M14" s="12"/>
      <c r="N14" s="1"/>
      <c r="O14" s="70"/>
      <c r="P14" s="69"/>
    </row>
    <row r="15" spans="1:16" x14ac:dyDescent="0.45">
      <c r="H15" s="7" t="s">
        <v>78</v>
      </c>
      <c r="I15" s="30" t="e" cm="1">
        <f t="array" aca="1" ref="I15" ca="1">_xll.RTD.T4("t4", , "Account",$I$2,"LossLimitPercent")</f>
        <v>#NAME?</v>
      </c>
      <c r="K15" s="7" t="s">
        <v>87</v>
      </c>
      <c r="L15" s="62" t="e" cm="1">
        <f t="array" aca="1" ref="L15" ca="1">_xll.RTD.T4("t4", , "Position",$I$2,$C$2,$C$3,$C$4,"PrevMargin")</f>
        <v>#NAME?</v>
      </c>
      <c r="M15" s="12"/>
      <c r="N15" s="1"/>
      <c r="O15" s="70"/>
      <c r="P15" s="69"/>
    </row>
    <row r="16" spans="1:16" x14ac:dyDescent="0.45">
      <c r="C16" s="74" t="s">
        <v>17</v>
      </c>
      <c r="D16" s="74"/>
      <c r="E16" s="42" t="e" cm="1">
        <f t="array" aca="1" ref="E16" ca="1">_xll.RTD.T4("t4", , "Market",$C$2,$C$3,$C$4,"Settlement","Decimal")</f>
        <v>#NAME?</v>
      </c>
      <c r="H16" s="7" t="s">
        <v>35</v>
      </c>
      <c r="I16" s="8" t="e" cm="1">
        <f t="array" aca="1" ref="I16" ca="1">_xll.RTD.T4("t4", , "Account",$I$2,"Margin")</f>
        <v>#NAME?</v>
      </c>
      <c r="K16" s="7" t="s">
        <v>51</v>
      </c>
      <c r="L16" s="62" t="e" cm="1">
        <f t="array" aca="1" ref="L16" ca="1">_xll.RTD.T4("t4", , "Position",$I$2,$C$2,$C$3,$C$4,"MP")</f>
        <v>#NAME?</v>
      </c>
      <c r="M16" s="12"/>
      <c r="N16" s="1"/>
      <c r="O16" s="70"/>
      <c r="P16" s="69"/>
    </row>
    <row r="17" spans="2:16" x14ac:dyDescent="0.45">
      <c r="C17" s="74" t="s">
        <v>18</v>
      </c>
      <c r="D17" s="74"/>
      <c r="E17" s="42" t="e" cm="1">
        <f t="array" aca="1" ref="E17" ca="1">_xll.RTD.T4("t4", , "Market",$C$2,$C$3,$C$4,"SettlementHeld","Decimal")</f>
        <v>#NAME?</v>
      </c>
      <c r="H17" s="7" t="s">
        <v>80</v>
      </c>
      <c r="I17" s="30" t="e" cm="1">
        <f t="array" aca="1" ref="I17" ca="1">_xll.RTD.T4("t4", , "Account",$I$2,"MaxPosition")</f>
        <v>#NAME?</v>
      </c>
      <c r="K17" s="7" t="s">
        <v>52</v>
      </c>
      <c r="L17" s="62" t="e" cm="1">
        <f t="array" aca="1" ref="L17" ca="1">_xll.RTD.T4("t4", , "Position",$I$2,$C$2,$C$3,$C$4,"Net")</f>
        <v>#NAME?</v>
      </c>
      <c r="M17" s="12"/>
      <c r="N17" s="1"/>
      <c r="O17" s="70"/>
      <c r="P17" s="69"/>
    </row>
    <row r="18" spans="2:16" x14ac:dyDescent="0.45">
      <c r="H18" s="7" t="s">
        <v>76</v>
      </c>
      <c r="I18" s="30" t="e" cm="1">
        <f t="array" aca="1" ref="I18" ca="1">_xll.RTD.T4("t4", , "Account",$I$2,"MinBalance")</f>
        <v>#NAME?</v>
      </c>
      <c r="K18" s="7" t="s">
        <v>89</v>
      </c>
      <c r="L18" s="62" t="e" cm="1">
        <f t="array" aca="1" ref="L18" ca="1">_xll.RTD.T4("t4", , "Position",$I$2,$C$2,$C$3,$C$4,"DayNet")</f>
        <v>#NAME?</v>
      </c>
      <c r="M18" s="12"/>
      <c r="N18" s="1"/>
      <c r="O18" s="70"/>
      <c r="P18" s="69"/>
    </row>
    <row r="19" spans="2:16" x14ac:dyDescent="0.45">
      <c r="D19" s="28" t="s">
        <v>19</v>
      </c>
      <c r="H19" s="7" t="s">
        <v>41</v>
      </c>
      <c r="I19" s="8" t="e" cm="1">
        <f t="array" aca="1" ref="I19" ca="1">_xll.RTD.T4("t4", , "Account",$I$2,"Mode")</f>
        <v>#NAME?</v>
      </c>
      <c r="K19" s="7" t="s">
        <v>88</v>
      </c>
      <c r="L19" s="62" t="e" cm="1">
        <f t="array" aca="1" ref="L19" ca="1">_xll.RTD.T4("t4", , "Position",$I$2,$C$2,$C$3,$C$4,"PrevNet")</f>
        <v>#NAME?</v>
      </c>
      <c r="M19" s="12"/>
      <c r="N19" s="1"/>
      <c r="O19" s="70"/>
      <c r="P19" s="69"/>
    </row>
    <row r="20" spans="2:16" x14ac:dyDescent="0.45">
      <c r="D20" s="39" t="e" cm="1">
        <f t="array" aca="1" ref="D20" ca="1">_xll.RTD.T4("t4", , "Market",$C$2,$C$3,$C$4,"High","Decimal")</f>
        <v>#NAME?</v>
      </c>
      <c r="H20" s="7" t="s">
        <v>31</v>
      </c>
      <c r="I20" s="8" t="e" cm="1">
        <f t="array" aca="1" ref="I20" ca="1">_xll.RTD.T4("t4", , "Account",$I$2,"Name")</f>
        <v>#NAME?</v>
      </c>
      <c r="K20" s="7" t="s">
        <v>138</v>
      </c>
      <c r="L20" s="62" t="e" cm="1">
        <f t="array" aca="1" ref="L20" ca="1">_xll.RTD.T4("t4", , "Position",$I$2,$C$2,$C$3,$C$4,"AverageOpenPrice","Decimal")</f>
        <v>#NAME?</v>
      </c>
      <c r="M20" s="12"/>
      <c r="N20" s="1"/>
      <c r="O20" s="70"/>
    </row>
    <row r="21" spans="2:16" x14ac:dyDescent="0.45">
      <c r="B21" s="32" t="s">
        <v>20</v>
      </c>
      <c r="C21" s="28" t="s">
        <v>21</v>
      </c>
      <c r="D21" s="29" t="s">
        <v>22</v>
      </c>
      <c r="E21" s="28" t="s">
        <v>23</v>
      </c>
      <c r="F21" s="28" t="s">
        <v>24</v>
      </c>
      <c r="H21" s="7" t="s">
        <v>62</v>
      </c>
      <c r="I21" s="30" t="e" cm="1">
        <f t="array" aca="1" ref="I21" ca="1">_xll.RTD.T4("t4", , "Account",$I$2,"NetEquity")</f>
        <v>#NAME?</v>
      </c>
      <c r="K21" s="7" t="s">
        <v>142</v>
      </c>
      <c r="L21" s="62" t="e" cm="1">
        <f t="array" aca="1" ref="L21" ca="1">_xll.RTD.T4("t4", , "Position",$I$2,$C$2,$C$3,$C$4,"TotalOpenPrice","Decimal")</f>
        <v>#NAME?</v>
      </c>
      <c r="M21" s="12"/>
      <c r="N21" s="1"/>
      <c r="O21" s="70"/>
    </row>
    <row r="22" spans="2:16" x14ac:dyDescent="0.45">
      <c r="B22" s="2"/>
      <c r="C22" s="2"/>
      <c r="D22" s="40" t="e" cm="1">
        <f t="array" aca="1" ref="D22" ca="1">_xll.RTD.T4("t4", , "Market",$C$2,$C$3,$C$4,"Offer","Decimal","4")</f>
        <v>#NAME?</v>
      </c>
      <c r="E22" s="21" t="e" cm="1">
        <f t="array" aca="1" ref="E22" ca="1">_xll.RTD.T4("t4", , "Market",$C$2,$C$3,$C$4,"Offer","Volume","4")</f>
        <v>#NAME?</v>
      </c>
      <c r="F22" s="21" t="e" cm="1">
        <f t="array" aca="1" ref="F22" ca="1">_xll.RTD.T4("t4", , "Market",$C$2,$C$3,$C$4,"OfferDisplay","Volume","4")</f>
        <v>#NAME?</v>
      </c>
      <c r="H22" s="7" t="s">
        <v>60</v>
      </c>
      <c r="I22" s="30" t="e" cm="1">
        <f t="array" aca="1" ref="I22" ca="1">_xll.RTD.T4("t4", , "Account",$I$2,"NetEquityMidPoint")</f>
        <v>#NAME?</v>
      </c>
      <c r="K22" s="7" t="s">
        <v>109</v>
      </c>
      <c r="L22" s="62" t="e" cm="1">
        <f t="array" aca="1" ref="L22" ca="1">_xll.RTD.T4("t4", , "Position",$I$2,$C$2,$C$3,$C$4,"TotalOpenVolume")</f>
        <v>#NAME?</v>
      </c>
      <c r="M22" s="12"/>
      <c r="N22" s="1"/>
      <c r="O22" s="70"/>
    </row>
    <row r="23" spans="2:16" x14ac:dyDescent="0.45">
      <c r="B23" s="2"/>
      <c r="C23" s="2"/>
      <c r="D23" s="21" t="e" cm="1">
        <f t="array" aca="1" ref="D23" ca="1">_xll.RTD.T4("t4", , "Market",$C$2,$C$3,$C$4,"Offer","Decimal","3")</f>
        <v>#NAME?</v>
      </c>
      <c r="E23" s="21" t="e" cm="1">
        <f t="array" aca="1" ref="E23" ca="1">_xll.RTD.T4("t4", , "Market",$C$2,$C$3,$C$4,"Offer","Volume","3")</f>
        <v>#NAME?</v>
      </c>
      <c r="F23" s="21" t="e" cm="1">
        <f t="array" aca="1" ref="F23" ca="1">_xll.RTD.T4("t4", , "Market",$C$2,$C$3,$C$4,"OfferDisplay","Volume","3")</f>
        <v>#NAME?</v>
      </c>
      <c r="H23" s="7" t="s">
        <v>61</v>
      </c>
      <c r="I23" s="30" t="e" cm="1">
        <f t="array" aca="1" ref="I23" ca="1">_xll.RTD.T4("t4", , "Account",$I$2,"NetEquitySettle")</f>
        <v>#NAME?</v>
      </c>
      <c r="K23" s="7" t="s">
        <v>86</v>
      </c>
      <c r="L23" s="62" t="e" cm="1">
        <f t="array" aca="1" ref="L23" ca="1">_xll.RTD.T4("t4", , "Position",$I$2,$C$2,$C$3,$C$4,"OvernightPosition")</f>
        <v>#NAME?</v>
      </c>
      <c r="M23" s="12"/>
      <c r="N23" s="1"/>
      <c r="O23" s="70"/>
    </row>
    <row r="24" spans="2:16" x14ac:dyDescent="0.45">
      <c r="B24" s="2"/>
      <c r="C24" s="2"/>
      <c r="D24" s="21" t="e" cm="1">
        <f t="array" aca="1" ref="D24" ca="1">_xll.RTD.T4("t4", , "Market",$C$2,$C$3,$C$4,"Offer","Decimal","2")</f>
        <v>#NAME?</v>
      </c>
      <c r="E24" s="21" t="e" cm="1">
        <f t="array" aca="1" ref="E24" ca="1">_xll.RTD.T4("t4", , "Market",$C$2,$C$3,$C$4,"Offer","Volume","2")</f>
        <v>#NAME?</v>
      </c>
      <c r="F24" s="21" t="e" cm="1">
        <f t="array" aca="1" ref="F24" ca="1">_xll.RTD.T4("t4", , "Market",$C$2,$C$3,$C$4,"OfferDisplay","Volume","2")</f>
        <v>#NAME?</v>
      </c>
      <c r="H24" s="7" t="s">
        <v>59</v>
      </c>
      <c r="I24" s="30" t="e" cm="1">
        <f t="array" aca="1" ref="I24" ca="1">_xll.RTD.T4("t4", , "Account",$I$2,"NetEquityTheo")</f>
        <v>#NAME?</v>
      </c>
      <c r="K24" s="7" t="s">
        <v>150</v>
      </c>
      <c r="L24" s="62" t="e" cm="1">
        <f t="array" aca="1" ref="L24" ca="1">_xll.RTD.T4("t4", , "Position",$I$2,$C$2,$C$3,$C$4,"TotalOvernightPrice","Decimal")</f>
        <v>#NAME?</v>
      </c>
      <c r="M24" s="12"/>
      <c r="N24" s="1"/>
      <c r="O24" s="70"/>
    </row>
    <row r="25" spans="2:16" x14ac:dyDescent="0.45">
      <c r="B25" s="2"/>
      <c r="C25" s="2"/>
      <c r="D25" s="21" t="e" cm="1">
        <f t="array" aca="1" ref="D25" ca="1">_xll.RTD.T4("t4", , "Market",$C$2,$C$3,$C$4,"Offer","Decimal","1")</f>
        <v>#NAME?</v>
      </c>
      <c r="E25" s="21" t="e" cm="1">
        <f t="array" aca="1" ref="E25" ca="1">_xll.RTD.T4("t4", , "Market",$C$2,$C$3,$C$4,"Offer","Volume","1")</f>
        <v>#NAME?</v>
      </c>
      <c r="F25" s="21" t="e" cm="1">
        <f t="array" aca="1" ref="F25" ca="1">_xll.RTD.T4("t4", , "Market",$C$2,$C$3,$C$4,"OfferDisplay","Volume","1")</f>
        <v>#NAME?</v>
      </c>
      <c r="H25" s="7" t="s">
        <v>43</v>
      </c>
      <c r="I25" s="30" t="e" cm="1">
        <f t="array" aca="1" ref="I25" ca="1">_xll.RTD.T4("t4", , "Account",$I$2,"NetLiq")</f>
        <v>#NAME?</v>
      </c>
      <c r="K25" s="7" t="s">
        <v>36</v>
      </c>
      <c r="L25" s="62" t="e" cm="1">
        <f t="array" aca="1" ref="L25" ca="1">_xll.RTD.T4("t4", , "Position",$I$2,$C$2,$C$3,$C$4,"PL")</f>
        <v>#NAME?</v>
      </c>
      <c r="M25" s="12"/>
      <c r="N25" s="1"/>
      <c r="O25" s="70"/>
    </row>
    <row r="26" spans="2:16" x14ac:dyDescent="0.45">
      <c r="B26" s="2"/>
      <c r="C26" s="2"/>
      <c r="D26" s="21" t="e" cm="1">
        <f t="array" aca="1" ref="D26" ca="1">_xll.RTD.T4("t4", , "Market",$C$2,$C$3,$C$4,"Offer","Decimal","0")</f>
        <v>#NAME?</v>
      </c>
      <c r="E26" s="21" t="e" cm="1">
        <f t="array" aca="1" ref="E26" ca="1">_xll.RTD.T4("t4", , "Market",$C$2,$C$3,$C$4,"Offer","Volume","0")</f>
        <v>#NAME?</v>
      </c>
      <c r="F26" s="21" t="e" cm="1">
        <f t="array" aca="1" ref="F26" ca="1">_xll.RTD.T4("t4", , "Market",$C$2,$C$3,$C$4,"OfferDisplay","Volume","0")</f>
        <v>#NAME?</v>
      </c>
      <c r="H26" s="7" t="s">
        <v>85</v>
      </c>
      <c r="I26" s="30" t="e" cm="1">
        <f t="array" aca="1" ref="I26" ca="1">_xll.RTD.T4("t4", , "Account",$I$2,"ImportedNetLiq")</f>
        <v>#NAME?</v>
      </c>
      <c r="K26" s="7" t="s">
        <v>91</v>
      </c>
      <c r="L26" s="62" t="e" cm="1">
        <f t="array" aca="1" ref="L26" ca="1">_xll.RTD.T4("t4", , "Position",$I$2,$C$2,$C$3,$C$4,"DayPL")</f>
        <v>#NAME?</v>
      </c>
      <c r="M26" s="12"/>
      <c r="N26" s="1"/>
      <c r="O26" s="70"/>
    </row>
    <row r="27" spans="2:16" x14ac:dyDescent="0.45">
      <c r="B27" s="2"/>
      <c r="C27" s="2"/>
      <c r="D27" s="41" t="e" cm="1">
        <f t="array" aca="1" ref="D27" ca="1">_xll.RTD.T4("t4",,"Market",$C$2,$C$3,$C$4,"LastTrade","Decimal") &amp; " / " &amp; _xll.RTD.T4("t4",,"Market",$C$2,$C$3,$C$4,"LastTrade","Volume")</f>
        <v>#NAME?</v>
      </c>
      <c r="E27" s="4"/>
      <c r="F27" s="2"/>
      <c r="H27" s="7" t="s">
        <v>84</v>
      </c>
      <c r="I27" s="30" t="e" cm="1">
        <f t="array" aca="1" ref="I27" ca="1">_xll.RTD.T4("t4", , "Account",$I$2,"ImportedNetLiqDate")</f>
        <v>#NAME?</v>
      </c>
      <c r="K27" s="7" t="s">
        <v>90</v>
      </c>
      <c r="L27" s="62" t="e" cm="1">
        <f t="array" aca="1" ref="L27" ca="1">_xll.RTD.T4("t4", , "Position",$I$2,$C$2,$C$3,$C$4,"PLTrade")</f>
        <v>#NAME?</v>
      </c>
      <c r="M27" s="12"/>
      <c r="N27" s="1"/>
      <c r="O27" s="70"/>
    </row>
    <row r="28" spans="2:16" x14ac:dyDescent="0.45">
      <c r="B28" s="22" t="e" cm="1">
        <f t="array" aca="1" ref="B28" ca="1">_xll.RTD.T4("t4", , "Market",$C$2,$C$3,$C$4,"BidDisplay","Volume","0")</f>
        <v>#NAME?</v>
      </c>
      <c r="C28" s="22" t="e" cm="1">
        <f t="array" aca="1" ref="C28" ca="1">_xll.RTD.T4("t4", , "Market",$C$2,$C$3,$C$4,"Bid","Volume","0")</f>
        <v>#NAME?</v>
      </c>
      <c r="D28" s="23" t="e" cm="1">
        <f t="array" aca="1" ref="D28" ca="1">_xll.RTD.T4("t4", , "Market",$C$2,$C$3,$C$4,"Bid","Decimal","0")</f>
        <v>#NAME?</v>
      </c>
      <c r="E28" s="2"/>
      <c r="F28" s="2"/>
      <c r="H28" s="7" t="s">
        <v>83</v>
      </c>
      <c r="I28" s="30" t="e" cm="1">
        <f t="array" aca="1" ref="I28" ca="1">_xll.RTD.T4("t4", , "Account",$I$2,"PrevImportedNetLiq")</f>
        <v>#NAME?</v>
      </c>
      <c r="K28" s="7" t="s">
        <v>92</v>
      </c>
      <c r="L28" s="62" t="e" cm="1">
        <f t="array" aca="1" ref="L28" ca="1">_xll.RTD.T4("t4", , "Position",$I$2,$C$2,$C$3,$C$4,"DayPLTrade")</f>
        <v>#NAME?</v>
      </c>
      <c r="M28" s="12"/>
      <c r="N28" s="1"/>
      <c r="O28" s="70"/>
    </row>
    <row r="29" spans="2:16" x14ac:dyDescent="0.45">
      <c r="B29" s="23" t="e" cm="1">
        <f t="array" aca="1" ref="B29" ca="1">_xll.RTD.T4("t4", , "Market",$C$2,$C$3,$C$4,"BidDisplay","Volume","1")</f>
        <v>#NAME?</v>
      </c>
      <c r="C29" s="23" t="e" cm="1">
        <f t="array" aca="1" ref="C29" ca="1">_xll.RTD.T4("t4", , "Market",$C$2,$C$3,$C$4,"Bid","Volume","1")</f>
        <v>#NAME?</v>
      </c>
      <c r="D29" s="23" t="e" cm="1">
        <f t="array" aca="1" ref="D29" ca="1">_xll.RTD.T4("t4", , "Market",$C$2,$C$3,$C$4,"Bid","Decimal","1")</f>
        <v>#NAME?</v>
      </c>
      <c r="E29" s="2"/>
      <c r="F29" s="2"/>
      <c r="H29" s="7" t="s">
        <v>82</v>
      </c>
      <c r="I29" s="30" t="e" cm="1">
        <f t="array" aca="1" ref="I29" ca="1">_xll.RTD.T4("t4", , "Account",$I$2,"PrevImportedNetLiqDate")</f>
        <v>#NAME?</v>
      </c>
      <c r="K29" s="7" t="s">
        <v>42</v>
      </c>
      <c r="L29" s="62" t="e" cm="1">
        <f t="array" aca="1" ref="L29" ca="1">_xll.RTD.T4("t4", , "Position",$I$2,$C$2,$C$3,$C$4,"Premium")</f>
        <v>#NAME?</v>
      </c>
      <c r="M29" s="12"/>
      <c r="N29" s="1"/>
      <c r="O29" s="70"/>
    </row>
    <row r="30" spans="2:16" x14ac:dyDescent="0.45">
      <c r="B30" s="23" t="e" cm="1">
        <f t="array" aca="1" ref="B30" ca="1">_xll.RTD.T4("t4", , "Market",$C$2,$C$3,$C$4,"BidDisplay","Volume","2")</f>
        <v>#NAME?</v>
      </c>
      <c r="C30" s="23" t="e" cm="1">
        <f t="array" aca="1" ref="C30" ca="1">_xll.RTD.T4("t4", , "Market",$C$2,$C$3,$C$4,"Bid","Volume","2")</f>
        <v>#NAME?</v>
      </c>
      <c r="D30" s="23" t="e" cm="1">
        <f t="array" aca="1" ref="D30" ca="1">_xll.RTD.T4("t4", , "Market",$C$2,$C$3,$C$4,"Bid","Decimal","2")</f>
        <v>#NAME?</v>
      </c>
      <c r="E30" s="2"/>
      <c r="F30" s="2"/>
      <c r="H30" s="7" t="s">
        <v>44</v>
      </c>
      <c r="I30" s="68" t="e" cm="1">
        <f t="array" aca="1" ref="I30" ca="1">_xll.RTD.T4("t4", , "Account",$I$2,"Notifications")</f>
        <v>#NAME?</v>
      </c>
      <c r="K30" s="7" t="s">
        <v>37</v>
      </c>
      <c r="L30" s="62" t="e" cm="1">
        <f t="array" aca="1" ref="L30" ca="1">_xll.RTD.T4("t4", , "Position",$I$2,$C$2,$C$3,$C$4,"RPL")</f>
        <v>#NAME?</v>
      </c>
      <c r="M30" s="12"/>
      <c r="N30" s="1"/>
      <c r="O30" s="70"/>
    </row>
    <row r="31" spans="2:16" x14ac:dyDescent="0.45">
      <c r="B31" s="23" t="e" cm="1">
        <f t="array" aca="1" ref="B31" ca="1">_xll.RTD.T4("t4", , "Market",$C$2,$C$3,$C$4,"BidDisplay","Volume","3")</f>
        <v>#NAME?</v>
      </c>
      <c r="C31" s="23" t="e" cm="1">
        <f t="array" aca="1" ref="C31" ca="1">_xll.RTD.T4("t4", , "Market",$C$2,$C$3,$C$4,"Bid","Volume","3")</f>
        <v>#NAME?</v>
      </c>
      <c r="D31" s="23" t="e" cm="1">
        <f t="array" aca="1" ref="D31" ca="1">_xll.RTD.T4("t4", , "Market",$C$2,$C$3,$C$4,"Bid","Decimal","3")</f>
        <v>#NAME?</v>
      </c>
      <c r="E31" s="2"/>
      <c r="F31" s="2"/>
      <c r="H31" s="7" t="s">
        <v>32</v>
      </c>
      <c r="I31" s="8" t="e" cm="1">
        <f t="array" aca="1" ref="I31" ca="1">_xll.RTD.T4("t4", , "Account",$I$2,"Number")</f>
        <v>#NAME?</v>
      </c>
      <c r="K31" s="7" t="s">
        <v>96</v>
      </c>
      <c r="L31" s="62" t="e" cm="1">
        <f t="array" aca="1" ref="L31" ca="1">_xll.RTD.T4("t4", , "Position",$I$2,$C$2,$C$3,$C$4,"DayRPL")</f>
        <v>#NAME?</v>
      </c>
      <c r="M31" s="12"/>
      <c r="N31" s="1"/>
      <c r="O31" s="70"/>
    </row>
    <row r="32" spans="2:16" x14ac:dyDescent="0.45">
      <c r="B32" s="24" t="e" cm="1">
        <f t="array" aca="1" ref="B32" ca="1">_xll.RTD.T4("t4", , "Market",$C$2,$C$3,$C$4,"BidDisplay","Volume","04")</f>
        <v>#NAME?</v>
      </c>
      <c r="C32" s="24" t="e" cm="1">
        <f t="array" aca="1" ref="C32" ca="1">_xll.RTD.T4("t4", , "Market",$C$2,$C$3,$C$4,"Bid","Volume","04")</f>
        <v>#NAME?</v>
      </c>
      <c r="D32" s="24" t="e" cm="1">
        <f t="array" aca="1" ref="D32" ca="1">_xll.RTD.T4("t4", , "Market",$C$2,$C$3,$C$4,"Bid","Decimal","4")</f>
        <v>#NAME?</v>
      </c>
      <c r="E32" s="3"/>
      <c r="F32" s="3"/>
      <c r="H32" s="7" t="s">
        <v>36</v>
      </c>
      <c r="I32" s="8" t="e" cm="1">
        <f t="array" aca="1" ref="I32" ca="1">_xll.RTD.T4("t4", , "Account",$I$2,"PL")</f>
        <v>#NAME?</v>
      </c>
      <c r="K32" s="7" t="s">
        <v>117</v>
      </c>
      <c r="L32" s="62" t="e" cm="1">
        <f t="array" aca="1" ref="L32" ca="1">_xll.RTD.T4("t4", , "Position",$I$2,$C$2,$C$3,$C$4,"DayRPLUSD")</f>
        <v>#NAME?</v>
      </c>
      <c r="M32" s="12"/>
      <c r="N32" s="1"/>
      <c r="O32" s="70"/>
    </row>
    <row r="33" spans="2:15" x14ac:dyDescent="0.45">
      <c r="D33" s="28" t="s">
        <v>25</v>
      </c>
      <c r="H33" s="7" t="s">
        <v>91</v>
      </c>
      <c r="I33" s="30" t="e" cm="1">
        <f t="array" aca="1" ref="I33" ca="1">_xll.RTD.T4("t4", , "Account",$I$2,"DayPL")</f>
        <v>#NAME?</v>
      </c>
      <c r="K33" s="7" t="s">
        <v>148</v>
      </c>
      <c r="L33" s="62" t="e" cm="1">
        <f t="array" aca="1" ref="L33" ca="1">_xll.RTD.T4("t4", , "Position",$I$2,$C$2,$C$3,$C$4,"TotalSellFillPrice","Decimal")</f>
        <v>#NAME?</v>
      </c>
      <c r="M33" s="12"/>
      <c r="N33" s="1"/>
      <c r="O33" s="70"/>
    </row>
    <row r="34" spans="2:15" x14ac:dyDescent="0.45">
      <c r="D34" s="25" t="e" cm="1">
        <f t="array" aca="1" ref="D34" ca="1">_xll.RTD.T4("t4", , "Market",$C$2,$C$3,$C$4,"Low","Decimal")</f>
        <v>#NAME?</v>
      </c>
      <c r="H34" s="7" t="s">
        <v>103</v>
      </c>
      <c r="I34" s="30" t="e" cm="1">
        <f t="array" aca="1" ref="I34" ca="1">_xll.RTD.T4("t4", , "Account",$I$2,"NetPL")</f>
        <v>#NAME?</v>
      </c>
      <c r="K34" s="7" t="s">
        <v>147</v>
      </c>
      <c r="L34" s="62" t="e" cm="1">
        <f t="array" aca="1" ref="L34" ca="1">_xll.RTD.T4("t4", , "Position",$I$2,$C$2,$C$3,$C$4,"DayTotalSellFillPrice","Decimal")</f>
        <v>#NAME?</v>
      </c>
      <c r="M34" s="12"/>
      <c r="N34" s="1"/>
      <c r="O34" s="70"/>
    </row>
    <row r="35" spans="2:15" x14ac:dyDescent="0.45">
      <c r="H35" s="7" t="s">
        <v>102</v>
      </c>
      <c r="I35" s="30" t="e" cm="1">
        <f t="array" aca="1" ref="I35" ca="1">_xll.RTD.T4("t4", , "Account",$I$2,"NetSettlementPL")</f>
        <v>#NAME?</v>
      </c>
      <c r="K35" s="7" t="s">
        <v>50</v>
      </c>
      <c r="L35" s="62" t="e" cm="1">
        <f t="array" aca="1" ref="L35" ca="1">_xll.RTD.T4("t4", , "Position",$I$2,$C$2,$C$3,$C$4,"Sells")</f>
        <v>#NAME?</v>
      </c>
      <c r="M35" s="12"/>
      <c r="N35" s="1"/>
      <c r="O35" s="70"/>
    </row>
    <row r="36" spans="2:15" x14ac:dyDescent="0.45">
      <c r="H36" s="7" t="s">
        <v>104</v>
      </c>
      <c r="I36" s="30" t="e" cm="1">
        <f t="array" aca="1" ref="I36" ca="1">_xll.RTD.T4("t4", , "Account",$I$2,"PLPercent")</f>
        <v>#NAME?</v>
      </c>
      <c r="K36" s="7" t="s">
        <v>114</v>
      </c>
      <c r="L36" s="62" t="e" cm="1">
        <f t="array" aca="1" ref="L36" ca="1">_xll.RTD.T4("t4", , "Position",$I$2,$C$2,$C$3,$C$4,"DaySells")</f>
        <v>#NAME?</v>
      </c>
      <c r="M36" s="12"/>
      <c r="N36" s="1"/>
      <c r="O36" s="70"/>
    </row>
    <row r="37" spans="2:15" x14ac:dyDescent="0.45">
      <c r="H37" s="7" t="s">
        <v>101</v>
      </c>
      <c r="I37" s="30" t="e" cm="1">
        <f t="array" aca="1" ref="I37" ca="1">_xll.RTD.T4("t4", , "Account",$I$2,"SettlementPL")</f>
        <v>#NAME?</v>
      </c>
      <c r="K37" s="7" t="s">
        <v>112</v>
      </c>
      <c r="L37" s="62" t="e" cm="1">
        <f t="array" aca="1" ref="L37" ca="1">_xll.RTD.T4("t4", , "Position",$I$2,$C$2,$C$3,$C$4,"WorkingSells")</f>
        <v>#NAME?</v>
      </c>
      <c r="M37" s="12"/>
      <c r="N37" s="1"/>
      <c r="O37" s="70"/>
    </row>
    <row r="38" spans="2:15" x14ac:dyDescent="0.45">
      <c r="H38" s="7" t="s">
        <v>42</v>
      </c>
      <c r="I38" s="30" t="e" cm="1">
        <f t="array" aca="1" ref="I38" ca="1">_xll.RTD.T4("t4", , "Account",$I$2,"Premium")</f>
        <v>#NAME?</v>
      </c>
      <c r="K38" s="7" t="s">
        <v>139</v>
      </c>
      <c r="L38" s="62" t="e" cm="1">
        <f t="array" aca="1" ref="L38" ca="1">_xll.RTD.T4("t4", , "Position",$I$2,$C$2,$C$3,$C$4,"AverageShortPrice","Decimal")</f>
        <v>#NAME?</v>
      </c>
      <c r="M38" s="12"/>
      <c r="N38" s="1"/>
      <c r="O38" s="70"/>
    </row>
    <row r="39" spans="2:15" x14ac:dyDescent="0.45">
      <c r="B39" s="78" t="s">
        <v>1</v>
      </c>
      <c r="C39" s="78"/>
      <c r="D39" s="78"/>
      <c r="E39" s="78"/>
      <c r="F39" s="78"/>
      <c r="H39" s="7" t="s">
        <v>37</v>
      </c>
      <c r="I39" s="8" t="e" cm="1">
        <f t="array" aca="1" ref="I39" ca="1">_xll.RTD.T4("t4", , "Account",$I$2,"RPL")</f>
        <v>#NAME?</v>
      </c>
      <c r="K39" s="7" t="s">
        <v>141</v>
      </c>
      <c r="L39" s="62" t="e" cm="1">
        <f t="array" aca="1" ref="L39" ca="1">_xll.RTD.T4("t4", , "Position",$I$2,$C$2,$C$3,$C$4,"DayAverageShortPrice","Decimal")</f>
        <v>#NAME?</v>
      </c>
      <c r="M39" s="12"/>
      <c r="N39" s="1"/>
      <c r="O39" s="71"/>
    </row>
    <row r="40" spans="2:15" x14ac:dyDescent="0.45">
      <c r="H40" s="7" t="s">
        <v>39</v>
      </c>
      <c r="I40" s="8" t="e" cm="1">
        <f t="array" aca="1" ref="I40" ca="1">_xll.RTD.T4("t4", , "Account",$I$2,"Status")</f>
        <v>#NAME?</v>
      </c>
      <c r="K40" s="7" t="s">
        <v>100</v>
      </c>
      <c r="L40" s="66" t="e" cm="1">
        <f t="array" aca="1" ref="L40" ca="1">_xll.RTD.T4("t4", , "Position",$I$2,$C$2,$C$3,$C$4,"TradeDate")</f>
        <v>#NAME?</v>
      </c>
      <c r="M40" s="12"/>
      <c r="N40" s="1"/>
      <c r="O40" s="70"/>
    </row>
    <row r="41" spans="2:15" x14ac:dyDescent="0.45">
      <c r="B41" s="1" t="s">
        <v>8</v>
      </c>
      <c r="C41" t="e" cm="1">
        <f t="array" aca="1" ref="C41" ca="1">_xll.RTD.T4("t4", , "Connection","Simulator")</f>
        <v>#NAME?</v>
      </c>
      <c r="H41" s="7" t="s">
        <v>38</v>
      </c>
      <c r="I41" s="8" t="e" cm="1">
        <f t="array" aca="1" ref="I41" ca="1">_xll.RTD.T4("t4", , "Account",$I$2,"UPL")</f>
        <v>#NAME?</v>
      </c>
      <c r="K41" s="7" t="s">
        <v>38</v>
      </c>
      <c r="L41" s="62" t="e" cm="1">
        <f t="array" aca="1" ref="L41" ca="1">_xll.RTD.T4("t4", , "Position",$I$2,$C$2,$C$3,$C$4,"UPL")</f>
        <v>#NAME?</v>
      </c>
      <c r="M41" s="12"/>
      <c r="N41" s="1"/>
      <c r="O41" s="70"/>
    </row>
    <row r="42" spans="2:15" x14ac:dyDescent="0.45">
      <c r="B42" s="1" t="s">
        <v>9</v>
      </c>
      <c r="C42" t="e" cm="1">
        <f t="array" aca="1" ref="C42" ca="1">_xll.RTD.T4("t4", , "ConnectionLogs")</f>
        <v>#NAME?</v>
      </c>
      <c r="H42" s="7" t="s">
        <v>157</v>
      </c>
      <c r="I42" s="30" t="e" cm="1">
        <f t="array" aca="1" ref="I42" ca="1">_xll.RTD.T4("t4", , "Account",$I$2,"UPLPrevDayHeldSettleSettle")</f>
        <v>#NAME?</v>
      </c>
      <c r="K42" s="7" t="s">
        <v>95</v>
      </c>
      <c r="L42" s="62" t="e" cm="1">
        <f t="array" aca="1" ref="L42" ca="1">_xll.RTD.T4("t4", , "Position",$I$2,$C$2,$C$3,$C$4,"DayUPL")</f>
        <v>#NAME?</v>
      </c>
      <c r="M42" s="12"/>
      <c r="N42" s="1"/>
      <c r="O42" s="70"/>
    </row>
    <row r="43" spans="2:15" x14ac:dyDescent="0.45">
      <c r="B43" s="1" t="s">
        <v>10</v>
      </c>
      <c r="C43" t="e" cm="1">
        <f t="array" aca="1" ref="C43" ca="1">_xll.RTD.T4("t4", , "TraceLogs")</f>
        <v>#NAME?</v>
      </c>
      <c r="H43" s="7" t="s">
        <v>127</v>
      </c>
      <c r="I43" s="30" t="e" cm="1">
        <f t="array" aca="1" ref="I43" ca="1">_xll.RTD.T4("t4", , "Account",$I$2,"UPLCurDayHeldSettle")</f>
        <v>#NAME?</v>
      </c>
      <c r="K43" s="7" t="s">
        <v>127</v>
      </c>
      <c r="L43" s="62" t="e" cm="1">
        <f t="array" aca="1" ref="L43" ca="1">_xll.RTD.T4("t4", , "Position",$I$2,$C$2,$C$3,$C$4,"UPLCurDayHeldSettle")</f>
        <v>#NAME?</v>
      </c>
      <c r="M43" s="12"/>
      <c r="N43" s="1"/>
      <c r="O43" s="70"/>
    </row>
    <row r="44" spans="2:15" x14ac:dyDescent="0.45">
      <c r="H44" s="7" t="s">
        <v>151</v>
      </c>
      <c r="I44" s="30" t="e" cm="1">
        <f t="array" aca="1" ref="I44" ca="1">_xll.RTD.T4("t4", , "Account",$I$2,"UPLTotalMidPrice")</f>
        <v>#NAME?</v>
      </c>
      <c r="K44" s="7" t="s">
        <v>152</v>
      </c>
      <c r="L44" s="62" t="e" cm="1">
        <f t="array" aca="1" ref="L44" ca="1">_xll.RTD.T4("t4", , "Position",$I$2,$C$2,$C$3,$C$4,"UPLPrevDayHeldSettleSettle")</f>
        <v>#NAME?</v>
      </c>
      <c r="M44" s="12"/>
      <c r="N44" s="1"/>
      <c r="O44" s="70"/>
    </row>
    <row r="45" spans="2:15" x14ac:dyDescent="0.45">
      <c r="H45" s="7" t="s">
        <v>156</v>
      </c>
      <c r="I45" s="30" t="e" cm="1">
        <f t="array" aca="1" ref="I45" ca="1">_xll.RTD.T4("t4", , "Account",$I$2,"UPLCurDayMidPrice")</f>
        <v>#NAME?</v>
      </c>
      <c r="K45" s="7" t="s">
        <v>151</v>
      </c>
      <c r="L45" s="62" t="e" cm="1">
        <f t="array" aca="1" ref="L45" ca="1">_xll.RTD.T4("t4", , "Position",$I$2,$C$2,$C$3,$C$4,"UPLTotalMidPrice")</f>
        <v>#NAME?</v>
      </c>
      <c r="M45" s="12"/>
      <c r="N45" s="1"/>
      <c r="O45" s="70"/>
    </row>
    <row r="46" spans="2:15" x14ac:dyDescent="0.45">
      <c r="B46" s="1" t="s">
        <v>0</v>
      </c>
      <c r="C46" t="e" cm="1">
        <f t="array" aca="1" ref="C46" ca="1">_xll.RTD.T4("t4", , "Notifications")</f>
        <v>#NAME?</v>
      </c>
      <c r="H46" s="7" t="s">
        <v>153</v>
      </c>
      <c r="I46" s="30" t="e" cm="1">
        <f t="array" aca="1" ref="I46" ca="1">_xll.RTD.T4("t4", , "Account",$I$2,"UPLPrevDayMidPrice")</f>
        <v>#NAME?</v>
      </c>
      <c r="K46" s="7" t="s">
        <v>156</v>
      </c>
      <c r="L46" s="62" t="e" cm="1">
        <f t="array" aca="1" ref="L46" ca="1">_xll.RTD.T4("t4", , "Position",$I$2,$C$2,$C$3,$C$4,"UPLCurDayMidPrice")</f>
        <v>#NAME?</v>
      </c>
      <c r="M46" s="12"/>
      <c r="N46" s="1"/>
      <c r="O46" s="70"/>
    </row>
    <row r="47" spans="2:15" x14ac:dyDescent="0.45">
      <c r="H47" s="7" t="s">
        <v>81</v>
      </c>
      <c r="I47" s="8" t="e" cm="1">
        <f t="array" aca="1" ref="I47" ca="1">_xll.RTD.T4("t4", , "Account",$I$2,"OvernightUPL")</f>
        <v>#NAME?</v>
      </c>
      <c r="K47" s="7" t="s">
        <v>153</v>
      </c>
      <c r="L47" s="62" t="e" cm="1">
        <f t="array" aca="1" ref="L47" ca="1">_xll.RTD.T4("t4", , "Position",$I$2,$C$2,$C$3,$C$4,"UPLPrevDayMidPrice","Decimal")</f>
        <v>#NAME?</v>
      </c>
      <c r="M47" s="12"/>
      <c r="N47" s="1"/>
      <c r="O47" s="70"/>
    </row>
    <row r="48" spans="2:15" x14ac:dyDescent="0.45">
      <c r="H48" s="7" t="s">
        <v>105</v>
      </c>
      <c r="I48" s="30" t="e" cm="1">
        <f t="array" aca="1" ref="I48" ca="1">_xll.RTD.T4("t4", , "Account",$I$2,"UPLTotalSettle")</f>
        <v>#NAME?</v>
      </c>
      <c r="K48" s="7" t="s">
        <v>126</v>
      </c>
      <c r="L48" s="62" t="e" cm="1">
        <f t="array" aca="1" ref="L48" ca="1">_xll.RTD.T4("t4", , "Position",$I$2,$C$2,$C$3,$C$4,"OvernightUPL")</f>
        <v>#NAME?</v>
      </c>
      <c r="M48" s="12"/>
      <c r="N48" s="1"/>
      <c r="O48" s="70"/>
    </row>
    <row r="49" spans="8:15" x14ac:dyDescent="0.45">
      <c r="H49" s="7" t="s">
        <v>106</v>
      </c>
      <c r="I49" s="30" t="e" cm="1">
        <f t="array" aca="1" ref="I49" ca="1">_xll.RTD.T4("t4", , "Account",$I$2,"UPLTotalTheo")</f>
        <v>#NAME?</v>
      </c>
      <c r="K49" s="7" t="s">
        <v>105</v>
      </c>
      <c r="L49" s="62" t="e" cm="1">
        <f t="array" aca="1" ref="L49" ca="1">_xll.RTD.T4("t4", , "Position",$I$2,$C$2,$C$3,$C$4,"UPLTotalSettle")</f>
        <v>#NAME?</v>
      </c>
      <c r="M49" s="12"/>
      <c r="N49" s="1"/>
      <c r="O49" s="70"/>
    </row>
    <row r="50" spans="8:15" x14ac:dyDescent="0.45">
      <c r="H50" s="7" t="s">
        <v>115</v>
      </c>
      <c r="I50" s="30" t="e" cm="1">
        <f t="array" aca="1" ref="I50" ca="1">_xll.RTD.T4("t4", , "Account",$I$2,"UPLCurDayTheo")</f>
        <v>#NAME?</v>
      </c>
      <c r="K50" s="7" t="s">
        <v>106</v>
      </c>
      <c r="L50" s="62" t="e" cm="1">
        <f t="array" aca="1" ref="L50" ca="1">_xll.RTD.T4("t4", , "Position",$I$2,$C$2,$C$3,$C$4,"UPLTotalTheo")</f>
        <v>#NAME?</v>
      </c>
      <c r="M50" s="12"/>
      <c r="N50" s="1"/>
      <c r="O50" s="70"/>
    </row>
    <row r="51" spans="8:15" x14ac:dyDescent="0.45">
      <c r="H51" s="7" t="s">
        <v>116</v>
      </c>
      <c r="I51" s="30" t="e" cm="1">
        <f t="array" aca="1" ref="I51" ca="1">_xll.RTD.T4("t4", , "Account",$I$2,"UPLPrevDayTheo")</f>
        <v>#NAME?</v>
      </c>
      <c r="K51" s="7" t="s">
        <v>115</v>
      </c>
      <c r="L51" s="62" t="e" cm="1">
        <f t="array" aca="1" ref="L51" ca="1">_xll.RTD.T4("t4", , "Position",$I$2,$C$2,$C$3,$C$4,"UPLCurDayTheo")</f>
        <v>#NAME?</v>
      </c>
      <c r="M51" s="12"/>
      <c r="N51" s="1"/>
      <c r="O51" s="70"/>
    </row>
    <row r="52" spans="8:15" x14ac:dyDescent="0.45">
      <c r="H52" s="7" t="s">
        <v>73</v>
      </c>
      <c r="I52" s="30" t="e" cm="1">
        <f t="array" aca="1" ref="I52" ca="1">_xll.RTD.T4("t4", , "Account",$I$2,"WarningLL")</f>
        <v>#NAME?</v>
      </c>
      <c r="K52" s="7" t="s">
        <v>116</v>
      </c>
      <c r="L52" s="62" t="e" cm="1">
        <f t="array" aca="1" ref="L52" ca="1">_xll.RTD.T4("t4", , "Position",$I$2,$C$2,$C$3,$C$4,"UPLPrevDayTheo")</f>
        <v>#NAME?</v>
      </c>
      <c r="M52" s="12"/>
      <c r="N52" s="1"/>
      <c r="O52" s="70"/>
    </row>
    <row r="53" spans="8:15" x14ac:dyDescent="0.45">
      <c r="H53" s="7" t="s">
        <v>75</v>
      </c>
      <c r="I53" s="30" t="e" cm="1">
        <f t="array" aca="1" ref="I53" ca="1">_xll.RTD.T4("t4", , "Account",$I$2,"WarningMargin")</f>
        <v>#NAME?</v>
      </c>
      <c r="K53" s="7" t="s">
        <v>110</v>
      </c>
      <c r="L53" s="62" t="e" cm="1">
        <f t="array" aca="1" ref="L53" ca="1">_xll.RTD.T4("t4", , "Position",$I$2,$C$2,$C$3,$C$4,"UPLTrade")</f>
        <v>#NAME?</v>
      </c>
      <c r="M53" s="12"/>
      <c r="N53" s="1"/>
      <c r="O53" s="70"/>
    </row>
    <row r="54" spans="8:15" x14ac:dyDescent="0.45">
      <c r="H54" s="7" t="s">
        <v>74</v>
      </c>
      <c r="I54" s="30" t="e" cm="1">
        <f t="array" aca="1" ref="I54" ca="1">_xll.RTD.T4("t4", , "Account",$I$2,"WarningPL")</f>
        <v>#NAME?</v>
      </c>
      <c r="K54" s="7" t="s">
        <v>98</v>
      </c>
      <c r="L54" s="62" t="e" cm="1">
        <f t="array" aca="1" ref="L54" ca="1">_xll.RTD.T4("t4", , "Position",$I$2,$C$2,$C$3,$C$4,"DayUPLTrade")</f>
        <v>#NAME?</v>
      </c>
      <c r="M54" s="12"/>
      <c r="N54" s="1"/>
      <c r="O54" s="70"/>
    </row>
    <row r="55" spans="8:15" x14ac:dyDescent="0.45">
      <c r="H55" s="7" t="s">
        <v>108</v>
      </c>
      <c r="I55" s="8" t="e" cm="1">
        <f t="array" aca="1" ref="I55" ca="1">_xll.RTD.T4("t4", , "Account",$I$2,"WarningSummary")</f>
        <v>#NAME?</v>
      </c>
      <c r="K55" s="7" t="s">
        <v>93</v>
      </c>
      <c r="L55" s="62" t="e" cm="1">
        <f t="array" aca="1" ref="L55" ca="1">_xll.RTD.T4("t4", , "Position",$I$2,$C$2,$C$3,$C$4,"UPLUSD")</f>
        <v>#NAME?</v>
      </c>
      <c r="M55" s="12"/>
      <c r="N55" s="1"/>
      <c r="O55" s="70"/>
    </row>
    <row r="56" spans="8:15" x14ac:dyDescent="0.45">
      <c r="H56" s="7" t="s">
        <v>69</v>
      </c>
      <c r="I56" s="30" t="e" cm="1">
        <f t="array" aca="1" ref="I56" ca="1">_xll.RTD.T4("t4", , "Account",$I$2,"WarningThresholdLL")</f>
        <v>#NAME?</v>
      </c>
      <c r="K56" s="7" t="s">
        <v>97</v>
      </c>
      <c r="L56" s="62" t="e" cm="1">
        <f t="array" aca="1" ref="L56" ca="1">_xll.RTD.T4("t4", , "Position",$I$2,$C$2,$C$3,$C$4,"DayUPLUSD")</f>
        <v>#NAME?</v>
      </c>
      <c r="M56" s="12"/>
      <c r="N56" s="1"/>
      <c r="O56" s="70"/>
    </row>
    <row r="57" spans="8:15" x14ac:dyDescent="0.45">
      <c r="H57" s="7" t="s">
        <v>67</v>
      </c>
      <c r="I57" s="30" t="e" cm="1">
        <f t="array" aca="1" ref="I57" ca="1">_xll.RTD.T4("t4", , "Account",$I$2,"WarningThresholdMargin")</f>
        <v>#NAME?</v>
      </c>
      <c r="K57" s="7" t="s">
        <v>94</v>
      </c>
      <c r="L57" s="62" t="e" cm="1">
        <f t="array" aca="1" ref="L57" ca="1">_xll.RTD.T4("t4", , "Position",$I$2,$C$2,$C$3,$C$4,"UPLTUSD")</f>
        <v>#NAME?</v>
      </c>
      <c r="M57" s="12"/>
      <c r="N57" s="1"/>
      <c r="O57" s="70"/>
    </row>
    <row r="58" spans="8:15" x14ac:dyDescent="0.45">
      <c r="H58" s="7" t="s">
        <v>68</v>
      </c>
      <c r="I58" s="30" t="e" cm="1">
        <f t="array" aca="1" ref="I58" ca="1">_xll.RTD.T4("t4", , "Account",$I$2,"WarningThresholdPL")</f>
        <v>#NAME?</v>
      </c>
      <c r="K58" s="7" t="s">
        <v>99</v>
      </c>
      <c r="L58" s="62" t="e" cm="1">
        <f t="array" aca="1" ref="L58" ca="1">_xll.RTD.T4("t4", , "Position",$I$2,$C$2,$C$3,$C$4,"DayUPLTUSD")</f>
        <v>#NAME?</v>
      </c>
      <c r="N58" s="1"/>
      <c r="O58" s="70"/>
    </row>
    <row r="59" spans="8:15" x14ac:dyDescent="0.45">
      <c r="H59" s="7" t="s">
        <v>70</v>
      </c>
      <c r="I59" s="30" t="e" cm="1">
        <f t="array" aca="1" ref="I59" ca="1">_xll.RTD.T4("t4", , "Account",$I$2,"WarningThresholdWorst")</f>
        <v>#NAME?</v>
      </c>
      <c r="K59" s="9" t="s">
        <v>53</v>
      </c>
      <c r="L59" s="63" t="e" cm="1">
        <f t="array" aca="1" ref="L59" ca="1">_xll.RTD.T4("t4", , "Position",$I$2,$C$2,$C$3,$C$4,"Worst")</f>
        <v>#NAME?</v>
      </c>
      <c r="N59" s="1"/>
      <c r="O59" s="70"/>
    </row>
    <row r="60" spans="8:15" x14ac:dyDescent="0.45">
      <c r="H60" s="7" t="s">
        <v>72</v>
      </c>
      <c r="I60" s="30" t="e" cm="1">
        <f t="array" aca="1" ref="I60" ca="1">_xll.RTD.T4("t4", , "Account",$I$2,"WarningWorst")</f>
        <v>#NAME?</v>
      </c>
    </row>
    <row r="61" spans="8:15" x14ac:dyDescent="0.45">
      <c r="H61" s="7" t="s">
        <v>71</v>
      </c>
      <c r="I61" s="8" t="e" cm="1">
        <f t="array" aca="1" ref="I61" ca="1">_xll.RTD.T4("t4", , "Account",$I$2,"WorkingDelta")</f>
        <v>#NAME?</v>
      </c>
    </row>
    <row r="62" spans="8:15" x14ac:dyDescent="0.45">
      <c r="H62" s="7" t="s">
        <v>63</v>
      </c>
      <c r="I62" s="30" t="e" cm="1">
        <f t="array" aca="1" ref="I62" ca="1">_xll.RTD.T4("t4", , "Account",$I$2,"TotalWorkingOrders")</f>
        <v>#NAME?</v>
      </c>
    </row>
    <row r="63" spans="8:15" x14ac:dyDescent="0.45">
      <c r="H63" s="9" t="s">
        <v>64</v>
      </c>
      <c r="I63" s="31" t="e" cm="1">
        <f t="array" aca="1" ref="I63" ca="1">_xll.RTD.T4("t4", , "Account",$I$2,"TotalWorkingQuantity")</f>
        <v>#NAME?</v>
      </c>
    </row>
  </sheetData>
  <sortState xmlns:xlrd2="http://schemas.microsoft.com/office/spreadsheetml/2017/richdata2" ref="K6:L59">
    <sortCondition ref="K6:K59"/>
  </sortState>
  <mergeCells count="16">
    <mergeCell ref="B39:F39"/>
    <mergeCell ref="C8:D8"/>
    <mergeCell ref="C6:E6"/>
    <mergeCell ref="C7:E7"/>
    <mergeCell ref="C9:D9"/>
    <mergeCell ref="C16:D16"/>
    <mergeCell ref="C17:D17"/>
    <mergeCell ref="E14:F14"/>
    <mergeCell ref="K1:L1"/>
    <mergeCell ref="H1:I1"/>
    <mergeCell ref="C11:D11"/>
    <mergeCell ref="C13:D13"/>
    <mergeCell ref="E11:F11"/>
    <mergeCell ref="E13:F13"/>
    <mergeCell ref="E12:F12"/>
    <mergeCell ref="B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51B3-7246-44E7-8B56-3305D414E303}">
  <dimension ref="A1:U63"/>
  <sheetViews>
    <sheetView tabSelected="1" workbookViewId="0">
      <selection activeCell="C41" sqref="C41"/>
    </sheetView>
  </sheetViews>
  <sheetFormatPr defaultRowHeight="14.25" x14ac:dyDescent="0.45"/>
  <cols>
    <col min="1" max="1" width="5.73046875" customWidth="1"/>
    <col min="2" max="3" width="12.73046875" customWidth="1"/>
    <col min="4" max="4" width="21.73046875" customWidth="1"/>
    <col min="5" max="6" width="12.73046875" customWidth="1"/>
    <col min="7" max="7" width="5.73046875" customWidth="1"/>
    <col min="8" max="8" width="30.73046875" customWidth="1"/>
    <col min="9" max="9" width="20.73046875" customWidth="1"/>
    <col min="10" max="10" width="5.73046875" customWidth="1"/>
    <col min="11" max="11" width="30.73046875" customWidth="1"/>
    <col min="12" max="12" width="20.73046875" customWidth="1"/>
    <col min="14" max="14" width="13.3984375" style="54" customWidth="1"/>
    <col min="15" max="15" width="30.59765625" style="8" customWidth="1"/>
    <col min="16" max="16" width="13.265625" customWidth="1"/>
    <col min="18" max="18" width="42.59765625" style="8" customWidth="1"/>
    <col min="19" max="19" width="22.59765625" customWidth="1"/>
    <col min="21" max="21" width="25.86328125" style="8" customWidth="1"/>
  </cols>
  <sheetData>
    <row r="1" spans="1:21" x14ac:dyDescent="0.45">
      <c r="A1" s="49"/>
      <c r="B1" s="72" t="s">
        <v>2</v>
      </c>
      <c r="C1" s="77"/>
      <c r="D1" s="77"/>
      <c r="E1" s="77"/>
      <c r="F1" s="73"/>
      <c r="H1" s="72" t="s">
        <v>26</v>
      </c>
      <c r="I1" s="73"/>
      <c r="K1" s="72" t="s">
        <v>29</v>
      </c>
      <c r="L1" s="73"/>
      <c r="N1" s="60" t="e" cm="1">
        <f t="array" aca="1" ref="N1" ca="1">_xll.T4.ExchangeList()</f>
        <v>#NAME?</v>
      </c>
      <c r="O1" s="60"/>
      <c r="P1" s="65" t="e" cm="1">
        <f t="array" aca="1" ref="P1" ca="1">_xll.T4.ContractList($C$2)</f>
        <v>#NAME?</v>
      </c>
      <c r="Q1" s="60"/>
      <c r="R1" s="60"/>
      <c r="S1" s="65" t="e" cm="1">
        <f t="array" aca="1" ref="S1" ca="1">_xll.T4.MarketList($C$2,$C$3,"None")</f>
        <v>#NAME?</v>
      </c>
      <c r="T1" s="60"/>
      <c r="U1" s="61"/>
    </row>
    <row r="2" spans="1:21" x14ac:dyDescent="0.45">
      <c r="A2" s="50"/>
      <c r="B2" s="15" t="s">
        <v>3</v>
      </c>
      <c r="C2" s="52" t="s">
        <v>6</v>
      </c>
      <c r="D2" s="51"/>
      <c r="E2" s="51"/>
      <c r="F2" s="20"/>
      <c r="H2" s="15" t="s">
        <v>27</v>
      </c>
      <c r="I2" s="20" t="s">
        <v>28</v>
      </c>
      <c r="K2" s="18"/>
      <c r="L2" s="16"/>
    </row>
    <row r="3" spans="1:21" x14ac:dyDescent="0.45">
      <c r="A3" s="50"/>
      <c r="B3" s="15" t="s">
        <v>4</v>
      </c>
      <c r="C3" s="52" t="s">
        <v>7</v>
      </c>
      <c r="D3" s="45"/>
      <c r="E3" s="45"/>
      <c r="F3" s="46"/>
      <c r="H3" s="15"/>
      <c r="I3" s="20"/>
      <c r="K3" s="18"/>
      <c r="L3" s="16"/>
    </row>
    <row r="4" spans="1:21" x14ac:dyDescent="0.45">
      <c r="A4" s="50"/>
      <c r="B4" s="13" t="s">
        <v>5</v>
      </c>
      <c r="C4" s="53" t="s">
        <v>54</v>
      </c>
      <c r="D4" s="47"/>
      <c r="E4" s="47"/>
      <c r="F4" s="48"/>
      <c r="H4" s="13"/>
      <c r="I4" s="14"/>
      <c r="K4" s="19"/>
      <c r="L4" s="17"/>
    </row>
    <row r="6" spans="1:21" x14ac:dyDescent="0.45">
      <c r="C6" s="81" t="s">
        <v>11</v>
      </c>
      <c r="D6" s="82"/>
      <c r="E6" s="82"/>
      <c r="F6" s="34"/>
      <c r="H6" s="5" t="s">
        <v>30</v>
      </c>
      <c r="I6" s="6" t="e" cm="1">
        <f t="array" aca="1" ref="I6" ca="1">_xll.T4.Account.AccountID($I$2)</f>
        <v>#NAME?</v>
      </c>
      <c r="K6" s="5" t="s">
        <v>130</v>
      </c>
      <c r="L6" s="11" t="e" cm="1">
        <f t="array" aca="1" ref="L6" ca="1">_xll.T4.Position.BuyFillPriceTotal($I$2,$C$2,$C$3,$C$4)</f>
        <v>#NAME?</v>
      </c>
    </row>
    <row r="7" spans="1:21" x14ac:dyDescent="0.45">
      <c r="C7" s="83" t="e" cm="1">
        <f t="array" aca="1" ref="C7" ca="1">_xll.T4.Market.Description($C$2,$C$3,$C$4)</f>
        <v>#NAME?</v>
      </c>
      <c r="D7" s="84"/>
      <c r="E7" s="84"/>
      <c r="F7" s="35"/>
      <c r="H7" s="7" t="s">
        <v>34</v>
      </c>
      <c r="I7" s="8" t="e" cm="1">
        <f t="array" aca="1" ref="I7" ca="1">_xll.T4.Account.Balance($I$2)</f>
        <v>#NAME?</v>
      </c>
      <c r="K7" s="7" t="s">
        <v>145</v>
      </c>
      <c r="L7" s="58" t="e" cm="1">
        <f t="array" aca="1" ref="L7" ca="1">_xll.T4.Position.BuyFillPriceDayTotal($I$2,$C$2,$C$3,$C$4)</f>
        <v>#NAME?</v>
      </c>
    </row>
    <row r="8" spans="1:21" x14ac:dyDescent="0.45">
      <c r="C8" s="79" t="s">
        <v>12</v>
      </c>
      <c r="D8" s="80"/>
      <c r="E8" s="33" t="s">
        <v>13</v>
      </c>
      <c r="F8" s="26"/>
      <c r="H8" s="7" t="s">
        <v>40</v>
      </c>
      <c r="I8" s="8" t="e" cm="1">
        <f t="array" aca="1" ref="I8" ca="1">_xll.T4.Account.Cash($I$2)</f>
        <v>#NAME?</v>
      </c>
      <c r="K8" s="7" t="s">
        <v>49</v>
      </c>
      <c r="L8" s="58" t="e" cm="1">
        <f t="array" aca="1" ref="L8" ca="1">_xll.T4.Position.Buys($I$2,$C$2,$C$3,$C$4)</f>
        <v>#NAME?</v>
      </c>
    </row>
    <row r="9" spans="1:21" x14ac:dyDescent="0.45">
      <c r="C9" s="85" t="e" cm="1">
        <f t="array" aca="1" ref="C9" ca="1">_xll.T4.Market.ExpiryMonth($C$2,$C$3,$C$4) &amp; " / " &amp; _xll.T4.Market.ExpiryYear($C$2,$C$3,$C$4)</f>
        <v>#NAME?</v>
      </c>
      <c r="D9" s="86"/>
      <c r="E9" s="36" t="e" cm="1">
        <f t="array" aca="1" ref="E9" ca="1">_xll.RTD.T4("t4", , "Market",$C$2,$C$3,$C$4,"TTV")</f>
        <v>#NAME?</v>
      </c>
      <c r="F9" s="27"/>
      <c r="H9" s="7" t="s">
        <v>66</v>
      </c>
      <c r="I9" s="8" t="e" cm="1">
        <f t="array" aca="1" ref="I9" ca="1">_xll.T4.Account.DayBuys($I$2)</f>
        <v>#NAME?</v>
      </c>
      <c r="K9" s="7" t="s">
        <v>118</v>
      </c>
      <c r="L9" s="58" t="e" cm="1">
        <f t="array" aca="1" ref="L9" ca="1">_xll.T4.Position.DayBuys($I$2,$C$2,$C$3,$C$4)</f>
        <v>#NAME?</v>
      </c>
    </row>
    <row r="10" spans="1:21" x14ac:dyDescent="0.45">
      <c r="H10" s="7" t="s">
        <v>65</v>
      </c>
      <c r="I10" s="8" t="e" cm="1">
        <f t="array" aca="1" ref="I10" ca="1">_xll.T4.Account.DaySells($I$2)</f>
        <v>#NAME?</v>
      </c>
      <c r="K10" s="7" t="s">
        <v>143</v>
      </c>
      <c r="L10" s="58" t="e" cm="1">
        <f t="array" aca="1" ref="L10" ca="1">_xll.T4.Position.WorkingBuys($I$2,$C$2,$C$3,$C$4)</f>
        <v>#NAME?</v>
      </c>
    </row>
    <row r="11" spans="1:21" x14ac:dyDescent="0.45">
      <c r="C11" s="74" t="s">
        <v>14</v>
      </c>
      <c r="D11" s="75"/>
      <c r="E11" s="74" t="s">
        <v>15</v>
      </c>
      <c r="F11" s="74"/>
      <c r="H11" s="7" t="s">
        <v>58</v>
      </c>
      <c r="I11" s="8" t="e" cm="1">
        <f t="array" aca="1" ref="I11" ca="1">_xll.T4.Account.FeesAndCommissions($I$2)</f>
        <v>#NAME?</v>
      </c>
      <c r="K11" s="7" t="s">
        <v>58</v>
      </c>
      <c r="L11" s="58" t="e" cm="1">
        <f t="array" aca="1" ref="L11" ca="1">_xll.T4.Position.FeesAndCommissions($I$2,$C$2,$C$3,$C$4)</f>
        <v>#NAME?</v>
      </c>
    </row>
    <row r="12" spans="1:21" x14ac:dyDescent="0.45">
      <c r="C12" s="25" t="e" cm="1">
        <f t="array" aca="1" ref="C12" ca="1">_xll.T4.Market.BestBid($C$2,$C$3,$C$4)</f>
        <v>#NAME?</v>
      </c>
      <c r="D12" s="37" t="e" cm="1">
        <f t="array" aca="1" ref="D12" ca="1">_xll.T4.Market.BestBidVolume($C$2,$C$3,$C$4)</f>
        <v>#NAME?</v>
      </c>
      <c r="E12" s="76" t="e" cm="1">
        <f t="array" aca="1" ref="E12" ca="1">_xll.T4.Market.BestBidDisplayVolume($C$2,$C$3,$C$4)</f>
        <v>#NAME?</v>
      </c>
      <c r="F12" s="76"/>
      <c r="H12" s="7" t="s">
        <v>77</v>
      </c>
      <c r="I12" s="8" t="e" cm="1">
        <f t="array" aca="1" ref="I12" ca="1">_xll.T4.Account.FilledDelta($I$2)</f>
        <v>#NAME?</v>
      </c>
      <c r="K12" s="7" t="s">
        <v>134</v>
      </c>
      <c r="L12" s="62" t="e" cm="1">
        <f t="array" aca="1" ref="L12" ca="1">_xll.T4.Position.AverageLongPrice($I$2,$C$2,$C$3,$C$4)</f>
        <v>#NAME?</v>
      </c>
    </row>
    <row r="13" spans="1:21" x14ac:dyDescent="0.45">
      <c r="C13" s="74" t="s">
        <v>16</v>
      </c>
      <c r="D13" s="75"/>
      <c r="E13" s="74" t="s">
        <v>16</v>
      </c>
      <c r="F13" s="74"/>
      <c r="H13" s="7" t="s">
        <v>33</v>
      </c>
      <c r="I13" s="8" t="e" cm="1">
        <f t="array" aca="1" ref="I13" ca="1">_xll.T4.Account.Firm($I$2)</f>
        <v>#NAME?</v>
      </c>
      <c r="K13" s="7" t="s">
        <v>137</v>
      </c>
      <c r="L13" s="62" t="e" cm="1">
        <f t="array" aca="1" ref="L13" ca="1">_xll.T4.Position.DayAverageLongPrice($I$2,$C$2,$C$3,$C$4)</f>
        <v>#NAME?</v>
      </c>
    </row>
    <row r="14" spans="1:21" x14ac:dyDescent="0.45">
      <c r="C14" s="39" t="e" cm="1">
        <f t="array" aca="1" ref="C14" ca="1">_xll.T4.Market.BestOffer($C$2,$C$3,$C$4)</f>
        <v>#NAME?</v>
      </c>
      <c r="D14" s="38" t="e" cm="1">
        <f t="array" aca="1" ref="D14" ca="1">_xll.T4.Market.BestOfferVolume($C$2,$C$3,$C$4)</f>
        <v>#NAME?</v>
      </c>
      <c r="E14" s="88" t="e" cm="1">
        <f t="array" aca="1" ref="E14" ca="1">_xll.T4.Market.BestOfferDisplayVolume($C$2,$C$3,$C$4)</f>
        <v>#NAME?</v>
      </c>
      <c r="F14" s="89"/>
      <c r="H14" s="7" t="s">
        <v>79</v>
      </c>
      <c r="I14" s="8" t="e" cm="1">
        <f t="array" aca="1" ref="I14" ca="1">_xll.T4.Account.LossLimit($I$2)</f>
        <v>#NAME?</v>
      </c>
      <c r="K14" s="7" t="s">
        <v>35</v>
      </c>
      <c r="L14" s="58" t="e" cm="1">
        <f t="array" aca="1" ref="L14" ca="1">_xll.T4.Position.Margin($I$2,$C$2,$C$3,$C$4)</f>
        <v>#NAME?</v>
      </c>
    </row>
    <row r="15" spans="1:21" x14ac:dyDescent="0.45">
      <c r="H15" s="7" t="s">
        <v>78</v>
      </c>
      <c r="I15" s="8" t="e" cm="1">
        <f t="array" aca="1" ref="I15" ca="1">_xll.T4.Account.LossLimitPercent($I$2)</f>
        <v>#NAME?</v>
      </c>
      <c r="K15" s="7" t="s">
        <v>149</v>
      </c>
      <c r="L15" s="58" t="e" cm="1">
        <f t="array" aca="1" ref="L15" ca="1">_xll.T4.Position.PrevMargin($I$2,$C$2,$C$3,$C$4)</f>
        <v>#NAME?</v>
      </c>
    </row>
    <row r="16" spans="1:21" x14ac:dyDescent="0.45">
      <c r="C16" s="74" t="s">
        <v>17</v>
      </c>
      <c r="D16" s="74"/>
      <c r="E16" s="42" t="e" cm="1">
        <f t="array" aca="1" ref="E16" ca="1">_xll.T4.Market.Settlement($C$2,$C$3,$C$4)</f>
        <v>#NAME?</v>
      </c>
      <c r="H16" s="7" t="s">
        <v>35</v>
      </c>
      <c r="I16" s="8" t="e" cm="1">
        <f t="array" aca="1" ref="I16" ca="1">_xll.T4.Account.Margin($I$2)</f>
        <v>#NAME?</v>
      </c>
      <c r="K16" s="7" t="s">
        <v>51</v>
      </c>
      <c r="L16" s="58" t="e" cm="1">
        <f t="array" aca="1" ref="L16" ca="1">_xll.T4.Position.MP($I$2,$C$2,$C$3,$C$4)</f>
        <v>#NAME?</v>
      </c>
    </row>
    <row r="17" spans="2:12" x14ac:dyDescent="0.45">
      <c r="C17" s="74" t="s">
        <v>18</v>
      </c>
      <c r="D17" s="74"/>
      <c r="E17" s="42" t="e" cm="1">
        <f t="array" aca="1" ref="E17" ca="1">_xll.T4.Market.SettlementHeld($C$2,$C$3,$C$4)</f>
        <v>#NAME?</v>
      </c>
      <c r="H17" s="7" t="s">
        <v>80</v>
      </c>
      <c r="I17" s="8" t="e" cm="1">
        <f t="array" aca="1" ref="I17" ca="1">_xll.T4.Account.MaxPosition($I$2)</f>
        <v>#NAME?</v>
      </c>
      <c r="K17" s="7" t="s">
        <v>52</v>
      </c>
      <c r="L17" s="58" t="e" cm="1">
        <f t="array" aca="1" ref="L17" ca="1">_xll.T4.Position.Net($I$2,$C$2,$C$3,$C$4)</f>
        <v>#NAME?</v>
      </c>
    </row>
    <row r="18" spans="2:12" x14ac:dyDescent="0.45">
      <c r="H18" s="7" t="s">
        <v>76</v>
      </c>
      <c r="I18" s="8" t="e" cm="1">
        <f t="array" aca="1" ref="I18" ca="1">_xll.T4.Account.MinBalance($I$2)</f>
        <v>#NAME?</v>
      </c>
      <c r="K18" s="7" t="s">
        <v>119</v>
      </c>
      <c r="L18" s="58" t="e" cm="1">
        <f t="array" aca="1" ref="L18" ca="1">_xll.T4.Position.DayNet($I$2,$C$2,$C$3,$C$4)</f>
        <v>#NAME?</v>
      </c>
    </row>
    <row r="19" spans="2:12" x14ac:dyDescent="0.45">
      <c r="D19" s="28" t="s">
        <v>19</v>
      </c>
      <c r="H19" s="7" t="s">
        <v>41</v>
      </c>
      <c r="I19" s="8" t="e" cm="1">
        <f t="array" aca="1" ref="I19" ca="1">_xll.T4.Account.Mode($I$2)</f>
        <v>#NAME?</v>
      </c>
      <c r="K19" s="7" t="s">
        <v>88</v>
      </c>
      <c r="L19" s="58" t="e" cm="1">
        <f t="array" aca="1" ref="L19" ca="1">_xll.T4.Position.PrevNet($I$2,$C$2,$C$3,$C$4)</f>
        <v>#NAME?</v>
      </c>
    </row>
    <row r="20" spans="2:12" x14ac:dyDescent="0.45">
      <c r="D20" s="39" t="e" cm="1">
        <f t="array" aca="1" ref="D20" ca="1">_xll.T4.Market.High($C$2,$C$3,$C$4)</f>
        <v>#NAME?</v>
      </c>
      <c r="H20" s="7" t="s">
        <v>31</v>
      </c>
      <c r="I20" s="8" t="e" cm="1">
        <f t="array" aca="1" ref="I20" ca="1">_xll.T4.Account.Name($I$2)</f>
        <v>#NAME?</v>
      </c>
      <c r="K20" s="7" t="s">
        <v>138</v>
      </c>
      <c r="L20" s="58" t="e" cm="1">
        <f t="array" aca="1" ref="L20" ca="1">_xll.T4.Position.AverageOpenPrice($I$2,$C$2,$C$3,$C$4)</f>
        <v>#NAME?</v>
      </c>
    </row>
    <row r="21" spans="2:12" x14ac:dyDescent="0.45">
      <c r="B21" s="32" t="s">
        <v>20</v>
      </c>
      <c r="C21" s="28" t="s">
        <v>21</v>
      </c>
      <c r="D21" s="55" t="s">
        <v>22</v>
      </c>
      <c r="E21" s="28" t="s">
        <v>23</v>
      </c>
      <c r="F21" s="28" t="s">
        <v>24</v>
      </c>
      <c r="H21" s="7" t="s">
        <v>62</v>
      </c>
      <c r="I21" s="8" t="e" cm="1">
        <f t="array" aca="1" ref="I21" ca="1">_xll.T4.Account.NetEquity($I$2)</f>
        <v>#NAME?</v>
      </c>
      <c r="K21" s="7" t="s">
        <v>131</v>
      </c>
      <c r="L21" s="58" t="e" cm="1">
        <f t="array" aca="1" ref="L21" ca="1">_xll.T4.Position.OpenPriceTotal($I$2,$C$2,$C$3,$C$4)</f>
        <v>#NAME?</v>
      </c>
    </row>
    <row r="22" spans="2:12" x14ac:dyDescent="0.45">
      <c r="B22" s="2"/>
      <c r="C22" s="54"/>
      <c r="D22" s="40" t="e" cm="1">
        <f t="array" aca="1" ref="D22" ca="1">_xll.T4.Market.Offer($C$2,$C$3,$C$4,4)</f>
        <v>#NAME?</v>
      </c>
      <c r="E22" s="40" t="e" cm="1">
        <f t="array" aca="1" ref="E22" ca="1">_xll.T4.Market.OfferVolume($C$2,$C$3,$C$4,4)</f>
        <v>#NAME?</v>
      </c>
      <c r="F22" s="40" t="e" cm="1">
        <f t="array" aca="1" ref="F22" ca="1">_xll.T4.Market.OfferDisplayVolume($C$2,$C$3,$C$4,4)</f>
        <v>#NAME?</v>
      </c>
      <c r="H22" s="7" t="s">
        <v>60</v>
      </c>
      <c r="I22" s="30" t="e" cm="1">
        <f t="array" aca="1" ref="I22" ca="1">_xll.T4.Account.NetEquityMidPoint($I$2)</f>
        <v>#NAME?</v>
      </c>
      <c r="K22" s="7" t="s">
        <v>109</v>
      </c>
      <c r="L22" s="58" t="e" cm="1">
        <f t="array" aca="1" ref="L22" ca="1">_xll.T4.Position.OpenVolume($I$2,$C$2,$C$3,$C$4)</f>
        <v>#NAME?</v>
      </c>
    </row>
    <row r="23" spans="2:12" x14ac:dyDescent="0.45">
      <c r="B23" s="2"/>
      <c r="C23" s="54"/>
      <c r="D23" s="21" t="e" cm="1">
        <f t="array" aca="1" ref="D23" ca="1">_xll.T4.Market.Offer($C$2,$C$3,$C$4,3)</f>
        <v>#NAME?</v>
      </c>
      <c r="E23" s="21" t="e" cm="1">
        <f t="array" aca="1" ref="E23" ca="1">_xll.T4.Market.OfferVolume($C$2,$C$3,$C$4,3)</f>
        <v>#NAME?</v>
      </c>
      <c r="F23" s="21" t="e" cm="1">
        <f t="array" aca="1" ref="F23" ca="1">_xll.T4.Market.OfferDisplayVolume($C$2,$C$3,$C$4,3)</f>
        <v>#NAME?</v>
      </c>
      <c r="H23" s="7" t="s">
        <v>61</v>
      </c>
      <c r="I23" s="30" t="e" cm="1">
        <f t="array" aca="1" ref="I23" ca="1">_xll.T4.Account.NetEquitySettle($I$2)</f>
        <v>#NAME?</v>
      </c>
      <c r="K23" s="7" t="s">
        <v>86</v>
      </c>
      <c r="L23" s="58" t="e" cm="1">
        <f t="array" aca="1" ref="L23" ca="1">_xll.T4.Position.OvernightPosition($I$2,$C$2,$C$3,$C$4)</f>
        <v>#NAME?</v>
      </c>
    </row>
    <row r="24" spans="2:12" x14ac:dyDescent="0.45">
      <c r="B24" s="2"/>
      <c r="C24" s="54"/>
      <c r="D24" s="21" t="e" cm="1">
        <f t="array" aca="1" ref="D24" ca="1">_xll.T4.Market.Offer($C$2,$C$3,$C$4,2)</f>
        <v>#NAME?</v>
      </c>
      <c r="E24" s="21" t="e" cm="1">
        <f t="array" aca="1" ref="E24" ca="1">_xll.T4.Market.OfferVolume($C$2,$C$3,$C$4,2)</f>
        <v>#NAME?</v>
      </c>
      <c r="F24" s="21" t="e" cm="1">
        <f t="array" aca="1" ref="F24" ca="1">_xll.T4.Market.OfferDisplayVolume($C$2,$C$3,$C$4,2)</f>
        <v>#NAME?</v>
      </c>
      <c r="H24" s="7" t="s">
        <v>59</v>
      </c>
      <c r="I24" s="30" t="e" cm="1">
        <f t="array" aca="1" ref="I24" ca="1">_xll.T4.Account.NetEquityTheo($I$2)</f>
        <v>#NAME?</v>
      </c>
      <c r="K24" s="7" t="s">
        <v>132</v>
      </c>
      <c r="L24" s="58" t="e" cm="1">
        <f t="array" aca="1" ref="L24" ca="1">_xll.T4.Position.OvernightPriceTotal($I$2,$C$2,$C$3,$C$4)</f>
        <v>#NAME?</v>
      </c>
    </row>
    <row r="25" spans="2:12" x14ac:dyDescent="0.45">
      <c r="B25" s="2"/>
      <c r="C25" s="54"/>
      <c r="D25" s="21" t="e" cm="1">
        <f t="array" aca="1" ref="D25" ca="1">_xll.T4.Market.Offer($C$2,$C$3,$C$4,1)</f>
        <v>#NAME?</v>
      </c>
      <c r="E25" s="21" t="e" cm="1">
        <f t="array" aca="1" ref="E25" ca="1">_xll.T4.Market.OfferVolume($C$2,$C$3,$C$4,1)</f>
        <v>#NAME?</v>
      </c>
      <c r="F25" s="21" t="e" cm="1">
        <f t="array" aca="1" ref="F25" ca="1">_xll.T4.Market.OfferDisplayVolume($C$2,$C$3,$C$4,1)</f>
        <v>#NAME?</v>
      </c>
      <c r="H25" s="7" t="s">
        <v>43</v>
      </c>
      <c r="I25" s="8" t="e" cm="1">
        <f t="array" aca="1" ref="I25" ca="1">_xll.T4.Account.NetLiq($I$2)</f>
        <v>#NAME?</v>
      </c>
      <c r="K25" s="7" t="s">
        <v>36</v>
      </c>
      <c r="L25" s="58" t="e" cm="1">
        <f t="array" aca="1" ref="L25" ca="1">_xll.T4.Position.PL($I$2,$C$2,$C$3,$C$4)</f>
        <v>#NAME?</v>
      </c>
    </row>
    <row r="26" spans="2:12" x14ac:dyDescent="0.45">
      <c r="B26" s="2"/>
      <c r="C26" s="54"/>
      <c r="D26" s="57" t="e" cm="1">
        <f t="array" aca="1" ref="D26" ca="1">_xll.T4.Market.Offer($C$2,$C$3,$C$4,1)</f>
        <v>#NAME?</v>
      </c>
      <c r="E26" s="57" t="e" cm="1">
        <f t="array" aca="1" ref="E26" ca="1">_xll.T4.Market.OfferVolume($C$2,$C$3,$C$4,0)</f>
        <v>#NAME?</v>
      </c>
      <c r="F26" s="57" t="e" cm="1">
        <f t="array" aca="1" ref="F26" ca="1">_xll.T4.Market.OfferDisplayVolume($C$2,$C$3,$C$4,0)</f>
        <v>#NAME?</v>
      </c>
      <c r="H26" s="7" t="s">
        <v>85</v>
      </c>
      <c r="I26" s="8" t="e" cm="1">
        <f t="array" aca="1" ref="I26" ca="1">_xll.T4.Account.ImportedNetLiq($I$2)</f>
        <v>#NAME?</v>
      </c>
      <c r="K26" s="7" t="s">
        <v>91</v>
      </c>
      <c r="L26" s="58" t="e" cm="1">
        <f t="array" aca="1" ref="L26" ca="1">_xll.T4.Position.DayPL($I$2,$C$2,$C$3,$C$4)</f>
        <v>#NAME?</v>
      </c>
    </row>
    <row r="27" spans="2:12" x14ac:dyDescent="0.45">
      <c r="B27" s="2"/>
      <c r="C27" s="2"/>
      <c r="D27" s="56" t="e" cm="1">
        <f t="array" aca="1" ref="D27" ca="1">_xll.T4.Market.LastTrade($C$2,$C$3,$C$4) &amp; " / " &amp; _xll.T4.Market.LastTradeVolume($C$2,$C$3,$C$4)</f>
        <v>#NAME?</v>
      </c>
      <c r="E27" s="4"/>
      <c r="F27" s="2"/>
      <c r="H27" s="7" t="s">
        <v>84</v>
      </c>
      <c r="I27" s="8" t="e" cm="1">
        <f t="array" aca="1" ref="I27" ca="1">_xll.T4.Account.ImportedNetLiqDate($I$2)</f>
        <v>#NAME?</v>
      </c>
      <c r="K27" s="7" t="s">
        <v>90</v>
      </c>
      <c r="L27" s="58" t="e" cm="1">
        <f t="array" aca="1" ref="L27" ca="1">_xll.T4.Position.PLTrade($I$2,$C$2,$C$3,$C$4)</f>
        <v>#NAME?</v>
      </c>
    </row>
    <row r="28" spans="2:12" x14ac:dyDescent="0.45">
      <c r="B28" s="23" t="e" cm="1">
        <f t="array" aca="1" ref="B28" ca="1">_xll.T4.Market.BidDisplayVolume($C$2,$C$3,$C$4,0)</f>
        <v>#NAME?</v>
      </c>
      <c r="C28" s="23" t="e" cm="1">
        <f t="array" aca="1" ref="C28" ca="1">_xll.T4.Market.BidVolume($C$2,$C$3,$C$4,0)</f>
        <v>#NAME?</v>
      </c>
      <c r="D28" s="23" t="e" cm="1">
        <f t="array" aca="1" ref="D28" ca="1">_xll.T4.Market.Bid($C$2,$C$3,$C$4,0)</f>
        <v>#NAME?</v>
      </c>
      <c r="E28" s="2"/>
      <c r="F28" s="2"/>
      <c r="H28" s="7" t="s">
        <v>83</v>
      </c>
      <c r="I28" s="8" t="e" cm="1">
        <f t="array" aca="1" ref="I28" ca="1">_xll.T4.Account.PrevImportedNetLiq($I$2)</f>
        <v>#NAME?</v>
      </c>
      <c r="K28" s="7" t="s">
        <v>92</v>
      </c>
      <c r="L28" s="58" t="e" cm="1">
        <f t="array" aca="1" ref="L28" ca="1">_xll.T4.Position.DayPLTrade($I$2,$C$2,$C$3,$C$4)</f>
        <v>#NAME?</v>
      </c>
    </row>
    <row r="29" spans="2:12" x14ac:dyDescent="0.45">
      <c r="B29" s="23" t="e" cm="1">
        <f t="array" aca="1" ref="B29" ca="1">_xll.T4.Market.BidDisplayVolume($C$2,$C$3,$C$4,1)</f>
        <v>#NAME?</v>
      </c>
      <c r="C29" s="23" t="e" cm="1">
        <f t="array" aca="1" ref="C29" ca="1">_xll.T4.Market.BidVolume($C$2,$C$3,$C$4,1)</f>
        <v>#NAME?</v>
      </c>
      <c r="D29" s="23" t="e" cm="1">
        <f t="array" aca="1" ref="D29" ca="1">_xll.T4.Market.Bid($C$2,$C$3,$C$4,1)</f>
        <v>#NAME?</v>
      </c>
      <c r="E29" s="2"/>
      <c r="F29" s="2"/>
      <c r="H29" s="7" t="s">
        <v>82</v>
      </c>
      <c r="I29" s="8" t="e" cm="1">
        <f t="array" aca="1" ref="I29" ca="1">_xll.T4.Account.PrevImportedNetLiqDate($I$2)</f>
        <v>#NAME?</v>
      </c>
      <c r="K29" s="7" t="s">
        <v>42</v>
      </c>
      <c r="L29" s="58" t="e" cm="1">
        <f t="array" aca="1" ref="L29" ca="1">_xll.T4.Position.Premium($I$2,$C$2,$C$3,$C$4)</f>
        <v>#NAME?</v>
      </c>
    </row>
    <row r="30" spans="2:12" x14ac:dyDescent="0.45">
      <c r="B30" s="23" t="e" cm="1">
        <f t="array" aca="1" ref="B30" ca="1">_xll.T4.Market.BidDisplayVolume($C$2,$C$3,$C$4,2)</f>
        <v>#NAME?</v>
      </c>
      <c r="C30" s="23" t="e" cm="1">
        <f t="array" aca="1" ref="C30" ca="1">_xll.T4.Market.BidVolume($C$2,$C$3,$C$4,2)</f>
        <v>#NAME?</v>
      </c>
      <c r="D30" s="23" t="e" cm="1">
        <f t="array" aca="1" ref="D30" ca="1">_xll.T4.Market.Bid($C$2,$C$3,$C$4,2)</f>
        <v>#NAME?</v>
      </c>
      <c r="E30" s="2"/>
      <c r="F30" s="2"/>
      <c r="H30" s="7" t="s">
        <v>44</v>
      </c>
      <c r="I30" s="68" t="e" cm="1">
        <f t="array" aca="1" ref="I30" ca="1">_xll.T4.Account.Notifications($I$2)</f>
        <v>#NAME?</v>
      </c>
      <c r="K30" s="7" t="s">
        <v>37</v>
      </c>
      <c r="L30" s="58" t="e" cm="1">
        <f t="array" aca="1" ref="L30" ca="1">_xll.T4.Position.RPL($I$2,$C$2,$C$3,$C$4)</f>
        <v>#NAME?</v>
      </c>
    </row>
    <row r="31" spans="2:12" x14ac:dyDescent="0.45">
      <c r="B31" s="23" t="e" cm="1">
        <f t="array" aca="1" ref="B31" ca="1">_xll.T4.Market.BidDisplayVolume($C$2,$C$3,$C$4,3)</f>
        <v>#NAME?</v>
      </c>
      <c r="C31" s="23" t="e" cm="1">
        <f t="array" aca="1" ref="C31" ca="1">_xll.T4.Market.BidVolume($C$2,$C$3,$C$4,3)</f>
        <v>#NAME?</v>
      </c>
      <c r="D31" s="23" t="e" cm="1">
        <f t="array" aca="1" ref="D31" ca="1">_xll.T4.Market.Bid($C$2,$C$3,$C$4,3)</f>
        <v>#NAME?</v>
      </c>
      <c r="E31" s="2"/>
      <c r="F31" s="2"/>
      <c r="H31" s="7" t="s">
        <v>32</v>
      </c>
      <c r="I31" s="8" t="e" cm="1">
        <f t="array" aca="1" ref="I31" ca="1">_xll.T4.Account.Number($I$2)</f>
        <v>#NAME?</v>
      </c>
      <c r="K31" s="7" t="s">
        <v>120</v>
      </c>
      <c r="L31" s="58" t="e" cm="1">
        <f t="array" aca="1" ref="L31" ca="1">_xll.T4.Position.DayRPL($I$2,$C$2,$C$3,$C$4)</f>
        <v>#NAME?</v>
      </c>
    </row>
    <row r="32" spans="2:12" x14ac:dyDescent="0.45">
      <c r="B32" s="24" t="e" cm="1">
        <f t="array" aca="1" ref="B32" ca="1">_xll.T4.Market.BidDisplayVolume($C$2,$C$3,$C$4,4)</f>
        <v>#NAME?</v>
      </c>
      <c r="C32" s="24" t="e" cm="1">
        <f t="array" aca="1" ref="C32" ca="1">_xll.T4.Market.BidVolume($C$2,$C$3,$C$4,4)</f>
        <v>#NAME?</v>
      </c>
      <c r="D32" s="24" t="e" cm="1">
        <f t="array" aca="1" ref="D32" ca="1">_xll.T4.Market.Bid($C$2,$C$3,$C$4,4)</f>
        <v>#NAME?</v>
      </c>
      <c r="E32" s="3"/>
      <c r="F32" s="3"/>
      <c r="H32" s="7" t="s">
        <v>36</v>
      </c>
      <c r="I32" s="8" t="e" cm="1">
        <f t="array" aca="1" ref="I32" ca="1">_xll.T4.Account.PL($I$2)</f>
        <v>#NAME?</v>
      </c>
      <c r="K32" s="7" t="s">
        <v>121</v>
      </c>
      <c r="L32" s="58" t="e" cm="1">
        <f t="array" aca="1" ref="L32" ca="1">_xll.T4.Position.DayRPLUSD($I$2,$C$2,$C$3,$C$4)</f>
        <v>#NAME?</v>
      </c>
    </row>
    <row r="33" spans="1:12" x14ac:dyDescent="0.45">
      <c r="D33" s="28" t="s">
        <v>25</v>
      </c>
      <c r="H33" s="7" t="s">
        <v>91</v>
      </c>
      <c r="I33" s="8" t="e" cm="1">
        <f t="array" aca="1" ref="I33" ca="1">_xll.T4.Account.DayPL($I$2)</f>
        <v>#NAME?</v>
      </c>
      <c r="K33" s="7" t="s">
        <v>133</v>
      </c>
      <c r="L33" s="58" t="e" cm="1">
        <f t="array" aca="1" ref="L33" ca="1">_xll.T4.Position.SellFillPriceTotal($I$2,$C$2,$C$3,$C$4)</f>
        <v>#NAME?</v>
      </c>
    </row>
    <row r="34" spans="1:12" x14ac:dyDescent="0.45">
      <c r="D34" s="25" t="e" cm="1">
        <f t="array" aca="1" ref="D34" ca="1">_xll.T4.Market.Low($C$2,$C$3,$C$4)</f>
        <v>#NAME?</v>
      </c>
      <c r="H34" s="7" t="s">
        <v>103</v>
      </c>
      <c r="I34" s="8" t="e" cm="1">
        <f t="array" aca="1" ref="I34" ca="1">_xll.T4.Account.NetPL($I$2)</f>
        <v>#NAME?</v>
      </c>
      <c r="K34" s="7" t="s">
        <v>146</v>
      </c>
      <c r="L34" s="58" t="e" cm="1">
        <f t="array" aca="1" ref="L34" ca="1">_xll.T4.Position.SellFillPriceDayTotal($I$2,$C$2,$C$3,$C$4)</f>
        <v>#NAME?</v>
      </c>
    </row>
    <row r="35" spans="1:12" x14ac:dyDescent="0.45">
      <c r="H35" s="7" t="s">
        <v>102</v>
      </c>
      <c r="I35" s="8" t="e" cm="1">
        <f t="array" aca="1" ref="I35" ca="1">_xll.T4.Account.NetSettlementPL($I$2)</f>
        <v>#NAME?</v>
      </c>
      <c r="K35" s="7" t="s">
        <v>50</v>
      </c>
      <c r="L35" s="58" t="e" cm="1">
        <f t="array" aca="1" ref="L35" ca="1">_xll.T4.Position.Sells($I$2,$C$2,$C$3,$C$4)</f>
        <v>#NAME?</v>
      </c>
    </row>
    <row r="36" spans="1:12" x14ac:dyDescent="0.45">
      <c r="H36" s="7" t="s">
        <v>104</v>
      </c>
      <c r="I36" s="30" t="e" cm="1">
        <f t="array" aca="1" ref="I36" ca="1">_xll.T4.Account.PLPercent($I$2)</f>
        <v>#NAME?</v>
      </c>
      <c r="K36" s="7" t="s">
        <v>122</v>
      </c>
      <c r="L36" s="58" t="e" cm="1">
        <f t="array" aca="1" ref="L36" ca="1">_xll.T4.Position.DaySells($I$2,$C$2,$C$3,$C$4)</f>
        <v>#NAME?</v>
      </c>
    </row>
    <row r="37" spans="1:12" x14ac:dyDescent="0.45">
      <c r="H37" s="7" t="s">
        <v>101</v>
      </c>
      <c r="I37" s="8" t="e" cm="1">
        <f t="array" aca="1" ref="I37" ca="1">_xll.T4.Account.SettlementPL($I$2)</f>
        <v>#NAME?</v>
      </c>
      <c r="K37" s="7" t="s">
        <v>144</v>
      </c>
      <c r="L37" s="58" t="e" cm="1">
        <f t="array" aca="1" ref="L37" ca="1">_xll.T4.Position.WorkingSells($I$2,$C$2,$C$3,$C$4)</f>
        <v>#NAME?</v>
      </c>
    </row>
    <row r="38" spans="1:12" x14ac:dyDescent="0.45">
      <c r="H38" s="7" t="s">
        <v>42</v>
      </c>
      <c r="I38" s="8" t="e" cm="1">
        <f t="array" aca="1" ref="I38" ca="1">_xll.T4.Account.Premium($I$2)</f>
        <v>#NAME?</v>
      </c>
      <c r="K38" s="7" t="s">
        <v>135</v>
      </c>
      <c r="L38" s="62" t="e" cm="1">
        <f t="array" aca="1" ref="L38" ca="1">_xll.T4.Position.AverageShortPrice($I$2,$C$2,$C$3,$C$4)</f>
        <v>#NAME?</v>
      </c>
    </row>
    <row r="39" spans="1:12" x14ac:dyDescent="0.45">
      <c r="B39" s="78" t="s">
        <v>1</v>
      </c>
      <c r="C39" s="78"/>
      <c r="D39" s="78"/>
      <c r="E39" s="78"/>
      <c r="F39" s="78"/>
      <c r="H39" s="7" t="s">
        <v>37</v>
      </c>
      <c r="I39" s="8" t="e" cm="1">
        <f t="array" aca="1" ref="I39" ca="1">_xll.T4.Account.RPL($I$2)</f>
        <v>#NAME?</v>
      </c>
      <c r="K39" s="7" t="s">
        <v>136</v>
      </c>
      <c r="L39" s="62" t="e" cm="1">
        <f t="array" aca="1" ref="L39" ca="1">_xll.T4.Position.DayAverageShortPrice($I$2,$C$2,$C$3,$C$4)</f>
        <v>#NAME?</v>
      </c>
    </row>
    <row r="40" spans="1:12" x14ac:dyDescent="0.45">
      <c r="H40" s="7" t="s">
        <v>39</v>
      </c>
      <c r="I40" s="8" t="e" cm="1">
        <f t="array" aca="1" ref="I40" ca="1">_xll.T4.Account.Status($I$2)</f>
        <v>#NAME?</v>
      </c>
      <c r="K40" s="7" t="s">
        <v>100</v>
      </c>
      <c r="L40" s="67" t="e" cm="1">
        <f t="array" aca="1" ref="L40" ca="1">_xll.T4.Position.TradeDate($I$2,$C$2,$C$3,$C$4)</f>
        <v>#NAME?</v>
      </c>
    </row>
    <row r="41" spans="1:12" x14ac:dyDescent="0.45">
      <c r="B41" s="1" t="s">
        <v>8</v>
      </c>
      <c r="C41" t="e" cm="1">
        <f t="array" aca="1" ref="C41" ca="1">_xll.T4.ConnectToSystem("Simulator")</f>
        <v>#NAME?</v>
      </c>
      <c r="H41" s="7" t="s">
        <v>38</v>
      </c>
      <c r="I41" s="8" t="e" cm="1">
        <f t="array" aca="1" ref="I41" ca="1">_xll.T4.Account.UPL($I$2)</f>
        <v>#NAME?</v>
      </c>
      <c r="K41" s="7" t="s">
        <v>38</v>
      </c>
      <c r="L41" s="58" t="e" cm="1">
        <f t="array" aca="1" ref="L41" ca="1">_xll.T4.Position.UPL($I$2,$C$2,$C$3,$C$4)</f>
        <v>#NAME?</v>
      </c>
    </row>
    <row r="42" spans="1:12" x14ac:dyDescent="0.45">
      <c r="B42" s="1" t="s">
        <v>56</v>
      </c>
      <c r="C42" t="e" cm="1">
        <f t="array" aca="1" ref="C42" ca="1">_xll.T4.ConnectionLogs()</f>
        <v>#NAME?</v>
      </c>
      <c r="H42" s="7" t="s">
        <v>157</v>
      </c>
      <c r="I42" s="30" t="e" cm="1">
        <f t="array" aca="1" ref="I42" ca="1">_xll.T4.Account.UPLPrevDaySettleToHeldSettle($I$2)</f>
        <v>#NAME?</v>
      </c>
      <c r="K42" s="7" t="s">
        <v>123</v>
      </c>
      <c r="L42" s="58" t="e" cm="1">
        <f t="array" aca="1" ref="L42" ca="1">_xll.T4.Position.DayUPL($I$2,$C$2,$C$3,$C$4)</f>
        <v>#NAME?</v>
      </c>
    </row>
    <row r="43" spans="1:12" x14ac:dyDescent="0.45">
      <c r="B43" s="1" t="s">
        <v>55</v>
      </c>
      <c r="C43" t="e" cm="1">
        <f t="array" aca="1" ref="C43" ca="1">_xll.T4.TraceLogs()</f>
        <v>#NAME?</v>
      </c>
      <c r="D43" s="1"/>
      <c r="E43" s="1"/>
      <c r="H43" s="7" t="s">
        <v>127</v>
      </c>
      <c r="I43" s="30" t="e" cm="1">
        <f t="array" aca="1" ref="I43" ca="1">_xll.T4.Account.UPLCurDayHeldSettle($I$2)</f>
        <v>#NAME?</v>
      </c>
      <c r="K43" s="7" t="s">
        <v>127</v>
      </c>
      <c r="L43" s="58" t="e" cm="1">
        <f t="array" aca="1" ref="L43" ca="1">_xll.T4.Position.UPLCurDayHeldSettle($I$2,$C$2,$C$3,$C$4)</f>
        <v>#NAME?</v>
      </c>
    </row>
    <row r="44" spans="1:12" x14ac:dyDescent="0.45">
      <c r="B44" s="1" t="s">
        <v>57</v>
      </c>
      <c r="C44" t="str" cm="1">
        <f t="array" ref="C44">_xll.T4.PriceDisplay()</f>
        <v>'PFD' Price Format And Decimal:  Corn = 4272 | E-Mini S&amp;P 500 = 210825 | Jap Yen = 9304.5</v>
      </c>
      <c r="H44" s="7" t="s">
        <v>151</v>
      </c>
      <c r="I44" s="30" t="e" cm="1">
        <f t="array" aca="1" ref="I44" ca="1">_xll.T4.Account.UPLMidPrice($I$2)</f>
        <v>#NAME?</v>
      </c>
      <c r="K44" s="7" t="s">
        <v>107</v>
      </c>
      <c r="L44" s="58" t="e" cm="1">
        <f t="array" aca="1" ref="L44" ca="1">_xll.T4.Position.UPLPrevDayHeldSettleSettle($I$2,$C$2,$C$3,$C$4)</f>
        <v>#NAME?</v>
      </c>
    </row>
    <row r="45" spans="1:12" x14ac:dyDescent="0.45">
      <c r="H45" s="7" t="s">
        <v>156</v>
      </c>
      <c r="I45" s="30" t="e" cm="1">
        <f t="array" aca="1" ref="I45" ca="1">_xll.T4.Account.UPLCurDayMidPrice($I$2)</f>
        <v>#NAME?</v>
      </c>
      <c r="K45" s="7" t="s">
        <v>151</v>
      </c>
      <c r="L45" s="58" t="e" cm="1">
        <f t="array" aca="1" ref="L45" ca="1">_xll.T4.Position.UPLMidPrice($I$2,$C$2,$C$3,$C$4)</f>
        <v>#NAME?</v>
      </c>
    </row>
    <row r="46" spans="1:12" x14ac:dyDescent="0.45">
      <c r="B46" s="1" t="s">
        <v>0</v>
      </c>
      <c r="C46" t="e" cm="1">
        <f t="array" aca="1" ref="C46" ca="1">_xll.T4.Notifications()</f>
        <v>#NAME?</v>
      </c>
      <c r="H46" s="7" t="s">
        <v>153</v>
      </c>
      <c r="I46" s="30" t="e" cm="1">
        <f t="array" aca="1" ref="I46" ca="1">_xll.T4.Account.UPLPrevDayMidPrice($I$2)</f>
        <v>#NAME?</v>
      </c>
      <c r="K46" s="7" t="s">
        <v>154</v>
      </c>
      <c r="L46" s="58" t="e" cm="1">
        <f t="array" aca="1" ref="L46" ca="1">_xll.T4.Position.UPLCurDayMidPrice($I$2,$C$2,$C$3,$C$4)</f>
        <v>#NAME?</v>
      </c>
    </row>
    <row r="47" spans="1:12" x14ac:dyDescent="0.45">
      <c r="H47" s="7" t="s">
        <v>81</v>
      </c>
      <c r="I47" s="8" t="e" cm="1">
        <f t="array" aca="1" ref="I47" ca="1">_xll.T4.Account.OvernightUPL($I$2)</f>
        <v>#NAME?</v>
      </c>
      <c r="K47" s="7" t="s">
        <v>129</v>
      </c>
      <c r="L47" s="58" t="e" cm="1">
        <f t="array" aca="1" ref="L47" ca="1">_xll.T4.Position.UPLPrevDayMidPrice($I$2,$C$2,$C$3,$C$4)</f>
        <v>#NAME?</v>
      </c>
    </row>
    <row r="48" spans="1:12" x14ac:dyDescent="0.45">
      <c r="A48" s="1"/>
      <c r="H48" s="7" t="s">
        <v>105</v>
      </c>
      <c r="I48" s="30" t="e" cm="1">
        <f t="array" aca="1" ref="I48" ca="1">_xll.T4.Account.UPLSettle($I$2)</f>
        <v>#NAME?</v>
      </c>
      <c r="K48" s="7" t="s">
        <v>126</v>
      </c>
      <c r="L48" s="58" t="e" cm="1">
        <f t="array" aca="1" ref="L48" ca="1">_xll.T4.Position.OvernightUPL($I$2,$C$2,$C$3,$C$4)</f>
        <v>#NAME?</v>
      </c>
    </row>
    <row r="49" spans="8:12" x14ac:dyDescent="0.45">
      <c r="H49" s="7" t="s">
        <v>106</v>
      </c>
      <c r="I49" s="30" t="e" cm="1">
        <f t="array" aca="1" ref="I49" ca="1">_xll.T4.Account.UPLTheo($I$2)</f>
        <v>#NAME?</v>
      </c>
      <c r="K49" s="7" t="s">
        <v>105</v>
      </c>
      <c r="L49" s="58" t="e" cm="1">
        <f t="array" aca="1" ref="L49" ca="1">_xll.T4.Position.UPLSettle($I$2,$C$2,$C$3,$C$4)</f>
        <v>#NAME?</v>
      </c>
    </row>
    <row r="50" spans="8:12" x14ac:dyDescent="0.45">
      <c r="H50" s="7" t="s">
        <v>115</v>
      </c>
      <c r="I50" s="30" t="e" cm="1">
        <f t="array" aca="1" ref="I50" ca="1">_xll.T4.Account.UPLCurDayTheo($I$2)</f>
        <v>#NAME?</v>
      </c>
      <c r="K50" s="7" t="s">
        <v>106</v>
      </c>
      <c r="L50" s="58" t="e" cm="1">
        <f t="array" aca="1" ref="L50" ca="1">_xll.T4.Position.UPLTheo($I$2,$C$2,$C$3,$C$4)</f>
        <v>#NAME?</v>
      </c>
    </row>
    <row r="51" spans="8:12" x14ac:dyDescent="0.45">
      <c r="H51" s="7" t="s">
        <v>116</v>
      </c>
      <c r="I51" s="30" t="e" cm="1">
        <f t="array" aca="1" ref="I51" ca="1">_xll.T4.Account.UPLPrevDayTheo($I$2)</f>
        <v>#NAME?</v>
      </c>
      <c r="K51" s="7" t="s">
        <v>128</v>
      </c>
      <c r="L51" s="58" t="e" cm="1">
        <f t="array" aca="1" ref="L51" ca="1">_xll.T4.Position.UPLCurDayTheo($I$2,$C$2,$C$3,$C$4)</f>
        <v>#NAME?</v>
      </c>
    </row>
    <row r="52" spans="8:12" x14ac:dyDescent="0.45">
      <c r="H52" s="7" t="s">
        <v>73</v>
      </c>
      <c r="I52" s="8" t="e" cm="1">
        <f t="array" aca="1" ref="I52" ca="1">_xll.T4.Account.WarningLL($I$2)</f>
        <v>#NAME?</v>
      </c>
      <c r="K52" s="7" t="s">
        <v>155</v>
      </c>
      <c r="L52" s="58" t="e" cm="1">
        <f t="array" aca="1" ref="L52" ca="1">_xll.T4.Position.UPLPrevDayTheo($I$2,$C$2,$C$3,$C$4)</f>
        <v>#NAME?</v>
      </c>
    </row>
    <row r="53" spans="8:12" x14ac:dyDescent="0.45">
      <c r="H53" s="7" t="s">
        <v>75</v>
      </c>
      <c r="I53" s="8" t="e" cm="1">
        <f t="array" aca="1" ref="I53" ca="1">_xll.T4.Account.WarningMargin($I$2)</f>
        <v>#NAME?</v>
      </c>
      <c r="K53" s="7" t="s">
        <v>110</v>
      </c>
      <c r="L53" s="58" t="e" cm="1">
        <f t="array" aca="1" ref="L53" ca="1">_xll.T4.Position.UPLTrade($I$2,$C$2,$C$3,$C$4)</f>
        <v>#NAME?</v>
      </c>
    </row>
    <row r="54" spans="8:12" x14ac:dyDescent="0.45">
      <c r="H54" s="7" t="s">
        <v>74</v>
      </c>
      <c r="I54" s="8" t="e" cm="1">
        <f t="array" aca="1" ref="I54" ca="1">_xll.T4.Account.WarningPL($I$2)</f>
        <v>#NAME?</v>
      </c>
      <c r="K54" s="7" t="s">
        <v>124</v>
      </c>
      <c r="L54" s="58" t="e" cm="1">
        <f t="array" aca="1" ref="L54" ca="1">_xll.T4.Position.DayUPLTrade($I$2,$C$2,$C$3,$C$4)</f>
        <v>#NAME?</v>
      </c>
    </row>
    <row r="55" spans="8:12" x14ac:dyDescent="0.45">
      <c r="H55" s="7" t="s">
        <v>108</v>
      </c>
      <c r="I55" s="8" t="e" cm="1">
        <f t="array" aca="1" ref="I55" ca="1">_xll.T4.Account.WarningSummary($I$2)</f>
        <v>#NAME?</v>
      </c>
      <c r="K55" s="7" t="s">
        <v>93</v>
      </c>
      <c r="L55" s="58" t="e" cm="1">
        <f t="array" aca="1" ref="L55" ca="1">_xll.T4.Position.UPLUSD($I$2,$C$2,$C$3,$C$4)</f>
        <v>#NAME?</v>
      </c>
    </row>
    <row r="56" spans="8:12" x14ac:dyDescent="0.45">
      <c r="H56" s="7" t="s">
        <v>69</v>
      </c>
      <c r="I56" s="8" t="e" cm="1">
        <f t="array" aca="1" ref="I56" ca="1">_xll.T4.Account.WarningThresholdLL($I$2)</f>
        <v>#NAME?</v>
      </c>
      <c r="K56" s="7" t="s">
        <v>125</v>
      </c>
      <c r="L56" s="58" t="e" cm="1">
        <f t="array" aca="1" ref="L56" ca="1">_xll.T4.Position.DayUPLUSD($I$2,$C$2,$C$3,$C$4)</f>
        <v>#NAME?</v>
      </c>
    </row>
    <row r="57" spans="8:12" x14ac:dyDescent="0.45">
      <c r="H57" s="7" t="s">
        <v>67</v>
      </c>
      <c r="I57" s="8" t="e" cm="1">
        <f t="array" aca="1" ref="I57" ca="1">_xll.T4.Account.WarningThresholdMargin($I$2)</f>
        <v>#NAME?</v>
      </c>
      <c r="K57" s="7" t="s">
        <v>94</v>
      </c>
      <c r="L57" s="58" t="e" cm="1">
        <f t="array" aca="1" ref="L57" ca="1">_xll.T4.Position.UPLTUSD($I$2,$C$2,$C$3,$C$4)</f>
        <v>#NAME?</v>
      </c>
    </row>
    <row r="58" spans="8:12" x14ac:dyDescent="0.45">
      <c r="H58" s="7" t="s">
        <v>68</v>
      </c>
      <c r="I58" s="8" t="e" cm="1">
        <f t="array" aca="1" ref="I58" ca="1">_xll.T4.Account.WarningThresholdPL($I$2)</f>
        <v>#NAME?</v>
      </c>
      <c r="K58" s="7" t="s">
        <v>99</v>
      </c>
      <c r="L58" s="58" t="e" cm="1">
        <f t="array" aca="1" ref="L58" ca="1">_xll.T4.Position.DayUPLTUSD($I$2,$C$2,$C$3,$C$4)</f>
        <v>#NAME?</v>
      </c>
    </row>
    <row r="59" spans="8:12" x14ac:dyDescent="0.45">
      <c r="H59" s="7" t="s">
        <v>70</v>
      </c>
      <c r="I59" s="8" t="e" cm="1">
        <f t="array" aca="1" ref="I59" ca="1">_xll.T4.Account.WarningThresholdWorst($I$2)</f>
        <v>#NAME?</v>
      </c>
      <c r="K59" s="9" t="s">
        <v>53</v>
      </c>
      <c r="L59" s="59" t="e" cm="1">
        <f t="array" aca="1" ref="L59" ca="1">_xll.T4.Position.Worst($I$2,$C$2,$C$3,$C$4)</f>
        <v>#NAME?</v>
      </c>
    </row>
    <row r="60" spans="8:12" x14ac:dyDescent="0.45">
      <c r="H60" s="7" t="s">
        <v>72</v>
      </c>
      <c r="I60" s="8" t="e" cm="1">
        <f t="array" aca="1" ref="I60" ca="1">_xll.T4.Account.WarningWorst($I$2)</f>
        <v>#NAME?</v>
      </c>
    </row>
    <row r="61" spans="8:12" x14ac:dyDescent="0.45">
      <c r="H61" s="7" t="s">
        <v>71</v>
      </c>
      <c r="I61" s="8" t="e" cm="1">
        <f t="array" aca="1" ref="I61" ca="1">_xll.T4.Account.WorkingDelta($I$2)</f>
        <v>#NAME?</v>
      </c>
    </row>
    <row r="62" spans="8:12" x14ac:dyDescent="0.45">
      <c r="H62" s="7" t="s">
        <v>63</v>
      </c>
      <c r="I62" s="8" t="e" cm="1">
        <f t="array" aca="1" ref="I62" ca="1">_xll.T4.Account.WorkingOrders($I$2)</f>
        <v>#NAME?</v>
      </c>
    </row>
    <row r="63" spans="8:12" x14ac:dyDescent="0.45">
      <c r="H63" s="9" t="s">
        <v>64</v>
      </c>
      <c r="I63" s="10" t="e" cm="1">
        <f t="array" aca="1" ref="I63" ca="1">_xll.T4.Account.WorkingQuantity($I$2)</f>
        <v>#NAME?</v>
      </c>
    </row>
  </sheetData>
  <sortState xmlns:xlrd2="http://schemas.microsoft.com/office/spreadsheetml/2017/richdata2" ref="K6:L59">
    <sortCondition ref="K6:K59"/>
  </sortState>
  <mergeCells count="16">
    <mergeCell ref="B39:F39"/>
    <mergeCell ref="B1:F1"/>
    <mergeCell ref="H1:I1"/>
    <mergeCell ref="K1:L1"/>
    <mergeCell ref="E14:F14"/>
    <mergeCell ref="C16:D16"/>
    <mergeCell ref="C17:D17"/>
    <mergeCell ref="C6:E6"/>
    <mergeCell ref="C7:E7"/>
    <mergeCell ref="C8:D8"/>
    <mergeCell ref="C9:D9"/>
    <mergeCell ref="C11:D11"/>
    <mergeCell ref="E11:F11"/>
    <mergeCell ref="E12:F12"/>
    <mergeCell ref="C13:D13"/>
    <mergeCell ref="E13:F1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CBC1-2178-4B62-8EE0-EA942EB61482}">
  <sheetPr codeName="Sheet2"/>
  <dimension ref="A3:B4"/>
  <sheetViews>
    <sheetView workbookViewId="0">
      <selection activeCell="G13" sqref="G13:H76"/>
    </sheetView>
  </sheetViews>
  <sheetFormatPr defaultColWidth="9.1328125" defaultRowHeight="14.25" x14ac:dyDescent="0.45"/>
  <cols>
    <col min="1" max="1" width="9.1328125" style="43"/>
    <col min="2" max="2" width="41.73046875" style="43" customWidth="1"/>
    <col min="3" max="16384" width="9.1328125" style="43"/>
  </cols>
  <sheetData>
    <row r="3" spans="1:2" x14ac:dyDescent="0.45">
      <c r="A3" s="43" t="s">
        <v>46</v>
      </c>
      <c r="B3" s="43" t="s">
        <v>45</v>
      </c>
    </row>
    <row r="4" spans="1:2" ht="57" x14ac:dyDescent="0.45">
      <c r="A4" s="43" t="s">
        <v>47</v>
      </c>
      <c r="B4" s="4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RTD.T4</vt:lpstr>
      <vt:lpstr>Functions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</dc:creator>
  <cp:lastModifiedBy>Rob Erickson</cp:lastModifiedBy>
  <dcterms:created xsi:type="dcterms:W3CDTF">2019-04-18T21:19:25Z</dcterms:created>
  <dcterms:modified xsi:type="dcterms:W3CDTF">2024-11-19T19:10:53Z</dcterms:modified>
</cp:coreProperties>
</file>